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g\Google Drive\SHARING\"/>
    </mc:Choice>
  </mc:AlternateContent>
  <bookViews>
    <workbookView xWindow="480" yWindow="105" windowWidth="27795" windowHeight="12600"/>
  </bookViews>
  <sheets>
    <sheet name="Payroll with formular" sheetId="2" r:id="rId1"/>
    <sheet name="Tax rate" sheetId="3" r:id="rId2"/>
    <sheet name="Sample" sheetId="1" state="hidden" r:id="rId3"/>
  </sheets>
  <externalReferences>
    <externalReference r:id="rId4"/>
  </externalReferences>
  <definedNames>
    <definedName name="_xlnm._FilterDatabase" localSheetId="0" hidden="1">'Payroll with formular'!$A$4:$AQ$25</definedName>
    <definedName name="_xlnm._FilterDatabase" localSheetId="2" hidden="1">Sample!$A$4:$AT$25</definedName>
    <definedName name="_xlnm.Print_Area" localSheetId="0">'Payroll with formular'!$A$1:$Y$25</definedName>
    <definedName name="_xlnm.Print_Area" localSheetId="2">Sample!$A$1:$AB$25</definedName>
  </definedNames>
  <calcPr calcId="171027"/>
</workbook>
</file>

<file path=xl/calcChain.xml><?xml version="1.0" encoding="utf-8"?>
<calcChain xmlns="http://schemas.openxmlformats.org/spreadsheetml/2006/main">
  <c r="I6" i="2" l="1"/>
  <c r="I7" i="2" l="1"/>
  <c r="J33" i="2"/>
  <c r="H8" i="2" l="1"/>
  <c r="N8" i="2"/>
  <c r="L8" i="2"/>
  <c r="L6" i="2"/>
  <c r="I8" i="2"/>
  <c r="I9" i="2"/>
  <c r="I10" i="2"/>
  <c r="I11" i="2"/>
  <c r="I12" i="2"/>
  <c r="I13" i="2"/>
  <c r="I14" i="2"/>
  <c r="I15" i="2"/>
  <c r="F6" i="2" l="1"/>
  <c r="H6" i="2" l="1"/>
  <c r="N6" i="2"/>
  <c r="M6" i="2"/>
  <c r="M7" i="2"/>
  <c r="M8" i="2"/>
  <c r="M9" i="2"/>
  <c r="M10" i="2"/>
  <c r="M11" i="2"/>
  <c r="M12" i="2"/>
  <c r="M13" i="2"/>
  <c r="M14" i="2"/>
  <c r="M15" i="2"/>
  <c r="G7" i="2"/>
  <c r="G8" i="2"/>
  <c r="G9" i="2"/>
  <c r="G10" i="2"/>
  <c r="G11" i="2"/>
  <c r="G12" i="2"/>
  <c r="G13" i="2"/>
  <c r="G14" i="2"/>
  <c r="G15" i="2"/>
  <c r="G6" i="2"/>
  <c r="E6" i="2"/>
  <c r="F15" i="2"/>
  <c r="F16" i="2"/>
  <c r="F7" i="2"/>
  <c r="F8" i="2"/>
  <c r="F9" i="2"/>
  <c r="F10" i="2"/>
  <c r="F11" i="2"/>
  <c r="F12" i="2"/>
  <c r="F13" i="2"/>
  <c r="F14" i="2"/>
  <c r="L7" i="2"/>
  <c r="L9" i="2"/>
  <c r="L10" i="2"/>
  <c r="L11" i="2"/>
  <c r="L12" i="2"/>
  <c r="L13" i="2"/>
  <c r="L14" i="2"/>
  <c r="L15" i="2"/>
  <c r="Q12" i="2" l="1"/>
  <c r="Q8" i="2"/>
  <c r="R8" i="2" s="1"/>
  <c r="N7" i="2"/>
  <c r="N9" i="2"/>
  <c r="N10" i="2"/>
  <c r="Q10" i="2" s="1"/>
  <c r="N11" i="2"/>
  <c r="Q11" i="2" s="1"/>
  <c r="N12" i="2"/>
  <c r="N13" i="2"/>
  <c r="Q13" i="2" s="1"/>
  <c r="N14" i="2"/>
  <c r="Q14" i="2" s="1"/>
  <c r="N15" i="2"/>
  <c r="Q15" i="2" s="1"/>
  <c r="P7" i="2"/>
  <c r="Q7" i="2" s="1"/>
  <c r="P8" i="2"/>
  <c r="P9" i="2"/>
  <c r="Q9" i="2" s="1"/>
  <c r="P10" i="2"/>
  <c r="P11" i="2"/>
  <c r="P12" i="2"/>
  <c r="P13" i="2"/>
  <c r="P14" i="2"/>
  <c r="P15" i="2"/>
  <c r="P6" i="2"/>
  <c r="Q6" i="2" s="1"/>
  <c r="R6" i="2" s="1"/>
  <c r="R14" i="2" l="1"/>
  <c r="X14" i="2" s="1"/>
  <c r="Y14" i="2" s="1"/>
  <c r="R10" i="2"/>
  <c r="X10" i="2" s="1"/>
  <c r="Y10" i="2" s="1"/>
  <c r="R13" i="2"/>
  <c r="X13" i="2" s="1"/>
  <c r="Y13" i="2" s="1"/>
  <c r="R9" i="2"/>
  <c r="X9" i="2" s="1"/>
  <c r="Y9" i="2" s="1"/>
  <c r="R12" i="2"/>
  <c r="X12" i="2" s="1"/>
  <c r="Y12" i="2" s="1"/>
  <c r="X8" i="2"/>
  <c r="Y8" i="2" s="1"/>
  <c r="R15" i="2"/>
  <c r="X15" i="2" s="1"/>
  <c r="Y15" i="2" s="1"/>
  <c r="R11" i="2"/>
  <c r="X11" i="2" s="1"/>
  <c r="Y11" i="2" s="1"/>
  <c r="R7" i="2"/>
  <c r="X7" i="2" s="1"/>
  <c r="Y7" i="2" s="1"/>
  <c r="H7" i="2"/>
  <c r="E7" i="2" s="1"/>
  <c r="AG15" i="2"/>
  <c r="AV15" i="2"/>
  <c r="AK15" i="2"/>
  <c r="AL15" i="2" s="1"/>
  <c r="AI15" i="2"/>
  <c r="AH15" i="2"/>
  <c r="AC15" i="2"/>
  <c r="AA15" i="2"/>
  <c r="AG14" i="2" s="1"/>
  <c r="H15" i="2"/>
  <c r="E15" i="2" s="1"/>
  <c r="AV14" i="2"/>
  <c r="AL14" i="2"/>
  <c r="AI14" i="2"/>
  <c r="AH14" i="2"/>
  <c r="AC14" i="2"/>
  <c r="AA14" i="2"/>
  <c r="AG13" i="2" s="1"/>
  <c r="AV13" i="2"/>
  <c r="AL13" i="2"/>
  <c r="AI13" i="2"/>
  <c r="AH13" i="2"/>
  <c r="AC13" i="2"/>
  <c r="AA13" i="2"/>
  <c r="H13" i="2"/>
  <c r="E13" i="2" s="1"/>
  <c r="AV12" i="2"/>
  <c r="AK12" i="2"/>
  <c r="AL12" i="2" s="1"/>
  <c r="AI12" i="2"/>
  <c r="AH12" i="2"/>
  <c r="AG12" i="2"/>
  <c r="AC12" i="2"/>
  <c r="AA12" i="2"/>
  <c r="AG11" i="2" s="1"/>
  <c r="H12" i="2"/>
  <c r="E12" i="2" s="1"/>
  <c r="AV11" i="2"/>
  <c r="AK11" i="2"/>
  <c r="AI11" i="2"/>
  <c r="AH11" i="2"/>
  <c r="AC11" i="2"/>
  <c r="AL11" i="2"/>
  <c r="AA11" i="2"/>
  <c r="AG10" i="2" s="1"/>
  <c r="H11" i="2"/>
  <c r="E11" i="2" s="1"/>
  <c r="AV10" i="2"/>
  <c r="AK10" i="2"/>
  <c r="AL10" i="2" s="1"/>
  <c r="AI10" i="2"/>
  <c r="AH10" i="2"/>
  <c r="AC10" i="2"/>
  <c r="AA10" i="2"/>
  <c r="AG9" i="2" s="1"/>
  <c r="H10" i="2"/>
  <c r="E10" i="2" s="1"/>
  <c r="AV9" i="2"/>
  <c r="AK9" i="2"/>
  <c r="AI9" i="2"/>
  <c r="AH9" i="2"/>
  <c r="AC9" i="2"/>
  <c r="AL9" i="2"/>
  <c r="AA9" i="2"/>
  <c r="AG8" i="2" s="1"/>
  <c r="H9" i="2"/>
  <c r="E9" i="2" s="1"/>
  <c r="AV8" i="2"/>
  <c r="AK8" i="2"/>
  <c r="AL8" i="2" s="1"/>
  <c r="AI8" i="2"/>
  <c r="AH8" i="2"/>
  <c r="AC8" i="2"/>
  <c r="AA8" i="2"/>
  <c r="AG7" i="2" s="1"/>
  <c r="E8" i="2"/>
  <c r="AV7" i="2"/>
  <c r="AK7" i="2"/>
  <c r="AL7" i="2" s="1"/>
  <c r="AI7" i="2"/>
  <c r="AH7" i="2"/>
  <c r="AC7" i="2"/>
  <c r="AV6" i="2"/>
  <c r="AR6" i="2"/>
  <c r="AK6" i="2"/>
  <c r="AL6" i="2" s="1"/>
  <c r="AI6" i="2"/>
  <c r="AH6" i="2"/>
  <c r="AC6" i="2"/>
  <c r="AA6" i="2"/>
  <c r="AY25" i="1"/>
  <c r="AF25" i="1"/>
  <c r="R25" i="1"/>
  <c r="Q25" i="1"/>
  <c r="P25" i="1"/>
  <c r="L25" i="1"/>
  <c r="K25" i="1"/>
  <c r="AD25" i="1" s="1"/>
  <c r="AJ24" i="1" s="1"/>
  <c r="J25" i="1"/>
  <c r="I25" i="1"/>
  <c r="H25" i="1"/>
  <c r="AY24" i="1"/>
  <c r="AL24" i="1"/>
  <c r="AK24" i="1"/>
  <c r="AF24" i="1"/>
  <c r="R24" i="1"/>
  <c r="Q24" i="1"/>
  <c r="P24" i="1"/>
  <c r="L24" i="1"/>
  <c r="K24" i="1"/>
  <c r="AD24" i="1" s="1"/>
  <c r="AJ23" i="1" s="1"/>
  <c r="J24" i="1"/>
  <c r="I24" i="1"/>
  <c r="H24" i="1"/>
  <c r="AY23" i="1"/>
  <c r="AL23" i="1"/>
  <c r="AK23" i="1"/>
  <c r="AF23" i="1"/>
  <c r="AD23" i="1"/>
  <c r="R23" i="1"/>
  <c r="Q23" i="1"/>
  <c r="P23" i="1"/>
  <c r="L23" i="1"/>
  <c r="K23" i="1"/>
  <c r="J23" i="1"/>
  <c r="I23" i="1"/>
  <c r="H23" i="1"/>
  <c r="G23" i="1" s="1"/>
  <c r="AY22" i="1"/>
  <c r="AL22" i="1"/>
  <c r="AK22" i="1"/>
  <c r="AJ22" i="1"/>
  <c r="AF22" i="1"/>
  <c r="R22" i="1"/>
  <c r="Q22" i="1"/>
  <c r="P22" i="1"/>
  <c r="L22" i="1"/>
  <c r="K22" i="1"/>
  <c r="AD22" i="1" s="1"/>
  <c r="AJ21" i="1" s="1"/>
  <c r="J22" i="1"/>
  <c r="I22" i="1"/>
  <c r="H22" i="1"/>
  <c r="AY21" i="1"/>
  <c r="AL21" i="1"/>
  <c r="AK21" i="1"/>
  <c r="AF21" i="1"/>
  <c r="R21" i="1"/>
  <c r="Q21" i="1"/>
  <c r="P21" i="1"/>
  <c r="L21" i="1"/>
  <c r="K21" i="1"/>
  <c r="AD21" i="1" s="1"/>
  <c r="J21" i="1"/>
  <c r="I21" i="1"/>
  <c r="H21" i="1"/>
  <c r="AY20" i="1"/>
  <c r="AF20" i="1"/>
  <c r="S20" i="1"/>
  <c r="R20" i="1"/>
  <c r="Q20" i="1"/>
  <c r="P20" i="1"/>
  <c r="L20" i="1"/>
  <c r="K20" i="1"/>
  <c r="AD20" i="1" s="1"/>
  <c r="AJ19" i="1" s="1"/>
  <c r="J20" i="1"/>
  <c r="I20" i="1"/>
  <c r="H20" i="1"/>
  <c r="AY19" i="1"/>
  <c r="AN19" i="1"/>
  <c r="AO19" i="1" s="1"/>
  <c r="AL19" i="1"/>
  <c r="AK19" i="1"/>
  <c r="AF19" i="1"/>
  <c r="R19" i="1"/>
  <c r="Q19" i="1"/>
  <c r="P19" i="1"/>
  <c r="L19" i="1"/>
  <c r="K19" i="1"/>
  <c r="AD19" i="1" s="1"/>
  <c r="J19" i="1"/>
  <c r="I19" i="1"/>
  <c r="H19" i="1"/>
  <c r="AY18" i="1"/>
  <c r="AN18" i="1"/>
  <c r="AO18" i="1" s="1"/>
  <c r="AL18" i="1"/>
  <c r="AK18" i="1"/>
  <c r="AJ18" i="1"/>
  <c r="AF18" i="1"/>
  <c r="R18" i="1"/>
  <c r="Q18" i="1"/>
  <c r="P18" i="1"/>
  <c r="L18" i="1"/>
  <c r="K18" i="1"/>
  <c r="AD18" i="1" s="1"/>
  <c r="AJ17" i="1" s="1"/>
  <c r="J18" i="1"/>
  <c r="I18" i="1"/>
  <c r="H18" i="1"/>
  <c r="AY17" i="1"/>
  <c r="AN17" i="1"/>
  <c r="AO17" i="1" s="1"/>
  <c r="AL17" i="1"/>
  <c r="AK17" i="1"/>
  <c r="AF17" i="1"/>
  <c r="R17" i="1"/>
  <c r="Q17" i="1"/>
  <c r="P17" i="1"/>
  <c r="L17" i="1"/>
  <c r="K17" i="1"/>
  <c r="AD17" i="1" s="1"/>
  <c r="AJ16" i="1" s="1"/>
  <c r="J17" i="1"/>
  <c r="I17" i="1"/>
  <c r="H17" i="1"/>
  <c r="AY16" i="1"/>
  <c r="AN16" i="1"/>
  <c r="AO16" i="1" s="1"/>
  <c r="AL16" i="1"/>
  <c r="AK16" i="1"/>
  <c r="AF16" i="1"/>
  <c r="R16" i="1"/>
  <c r="Q16" i="1"/>
  <c r="P16" i="1"/>
  <c r="L16" i="1"/>
  <c r="K16" i="1"/>
  <c r="AD16" i="1" s="1"/>
  <c r="AJ15" i="1" s="1"/>
  <c r="J16" i="1"/>
  <c r="I16" i="1"/>
  <c r="H16" i="1"/>
  <c r="AY15" i="1"/>
  <c r="AN15" i="1"/>
  <c r="AO15" i="1" s="1"/>
  <c r="AL15" i="1"/>
  <c r="AK15" i="1"/>
  <c r="AF15" i="1"/>
  <c r="R15" i="1"/>
  <c r="Q15" i="1"/>
  <c r="P15" i="1"/>
  <c r="L15" i="1"/>
  <c r="K15" i="1"/>
  <c r="AD15" i="1" s="1"/>
  <c r="AJ14" i="1" s="1"/>
  <c r="J15" i="1"/>
  <c r="I15" i="1"/>
  <c r="H15" i="1"/>
  <c r="AY14" i="1"/>
  <c r="AO14" i="1"/>
  <c r="AL14" i="1"/>
  <c r="AK14" i="1"/>
  <c r="AF14" i="1"/>
  <c r="N14" i="1"/>
  <c r="R14" i="1" s="1"/>
  <c r="AY13" i="1"/>
  <c r="AO13" i="1"/>
  <c r="AL13" i="1"/>
  <c r="AK13" i="1"/>
  <c r="AF13" i="1"/>
  <c r="R13" i="1"/>
  <c r="Q13" i="1"/>
  <c r="P13" i="1"/>
  <c r="L13" i="1"/>
  <c r="K13" i="1"/>
  <c r="AD13" i="1" s="1"/>
  <c r="J13" i="1"/>
  <c r="I13" i="1"/>
  <c r="H13" i="1"/>
  <c r="AY12" i="1"/>
  <c r="AO12" i="1"/>
  <c r="AN12" i="1"/>
  <c r="AL12" i="1"/>
  <c r="AK12" i="1"/>
  <c r="AJ12" i="1"/>
  <c r="AF12" i="1"/>
  <c r="R12" i="1"/>
  <c r="Q12" i="1"/>
  <c r="P12" i="1"/>
  <c r="O12" i="1"/>
  <c r="L12" i="1" s="1"/>
  <c r="J12" i="1"/>
  <c r="I12" i="1"/>
  <c r="H12" i="1"/>
  <c r="AY11" i="1"/>
  <c r="AN11" i="1"/>
  <c r="AL11" i="1"/>
  <c r="AK11" i="1"/>
  <c r="AF11" i="1"/>
  <c r="S11" i="1"/>
  <c r="AO11" i="1" s="1"/>
  <c r="R11" i="1"/>
  <c r="Q11" i="1"/>
  <c r="P11" i="1"/>
  <c r="L11" i="1"/>
  <c r="K11" i="1"/>
  <c r="AD11" i="1" s="1"/>
  <c r="AJ10" i="1" s="1"/>
  <c r="J11" i="1"/>
  <c r="I11" i="1"/>
  <c r="H11" i="1"/>
  <c r="AY10" i="1"/>
  <c r="AN10" i="1"/>
  <c r="AO10" i="1" s="1"/>
  <c r="AL10" i="1"/>
  <c r="AK10" i="1"/>
  <c r="AF10" i="1"/>
  <c r="R10" i="1"/>
  <c r="Q10" i="1"/>
  <c r="P10" i="1"/>
  <c r="L10" i="1"/>
  <c r="K10" i="1"/>
  <c r="AD10" i="1" s="1"/>
  <c r="AJ9" i="1" s="1"/>
  <c r="J10" i="1"/>
  <c r="I10" i="1"/>
  <c r="H10" i="1"/>
  <c r="AY9" i="1"/>
  <c r="AN9" i="1"/>
  <c r="AL9" i="1"/>
  <c r="AK9" i="1"/>
  <c r="AF9" i="1"/>
  <c r="S9" i="1"/>
  <c r="AO9" i="1" s="1"/>
  <c r="R9" i="1"/>
  <c r="Q9" i="1"/>
  <c r="P9" i="1"/>
  <c r="L9" i="1"/>
  <c r="K9" i="1"/>
  <c r="J9" i="1"/>
  <c r="G9" i="1" s="1"/>
  <c r="I9" i="1"/>
  <c r="H9" i="1"/>
  <c r="AY8" i="1"/>
  <c r="AO8" i="1"/>
  <c r="AN8" i="1"/>
  <c r="AL8" i="1"/>
  <c r="AK8" i="1"/>
  <c r="AF8" i="1"/>
  <c r="R8" i="1"/>
  <c r="Q8" i="1"/>
  <c r="P8" i="1"/>
  <c r="L8" i="1"/>
  <c r="K8" i="1"/>
  <c r="AD8" i="1" s="1"/>
  <c r="AJ7" i="1" s="1"/>
  <c r="J8" i="1"/>
  <c r="I8" i="1"/>
  <c r="H8" i="1"/>
  <c r="AY7" i="1"/>
  <c r="AN7" i="1"/>
  <c r="AO7" i="1" s="1"/>
  <c r="AL7" i="1"/>
  <c r="AK7" i="1"/>
  <c r="AF7" i="1"/>
  <c r="Q7" i="1"/>
  <c r="L7" i="1"/>
  <c r="K7" i="1"/>
  <c r="AD7" i="1" s="1"/>
  <c r="AJ6" i="1" s="1"/>
  <c r="I7" i="1"/>
  <c r="AY6" i="1"/>
  <c r="AU6" i="1"/>
  <c r="AN6" i="1"/>
  <c r="AO6" i="1" s="1"/>
  <c r="AL6" i="1"/>
  <c r="AK6" i="1"/>
  <c r="AF6" i="1"/>
  <c r="Q6" i="1"/>
  <c r="L6" i="1"/>
  <c r="K6" i="1"/>
  <c r="I6" i="1"/>
  <c r="G6" i="1" s="1"/>
  <c r="G10" i="1" l="1"/>
  <c r="G13" i="1"/>
  <c r="G17" i="1"/>
  <c r="G7" i="1"/>
  <c r="G22" i="1"/>
  <c r="K12" i="1"/>
  <c r="AD12" i="1" s="1"/>
  <c r="AJ11" i="1" s="1"/>
  <c r="G19" i="1"/>
  <c r="G24" i="1"/>
  <c r="G16" i="1"/>
  <c r="G11" i="1"/>
  <c r="I14" i="1"/>
  <c r="G20" i="1"/>
  <c r="AA7" i="2"/>
  <c r="AG6" i="2" s="1"/>
  <c r="AJ10" i="2"/>
  <c r="AJ11" i="2"/>
  <c r="AJ8" i="2"/>
  <c r="AJ9" i="2"/>
  <c r="AJ13" i="2"/>
  <c r="H14" i="2"/>
  <c r="E14" i="2" s="1"/>
  <c r="AJ15" i="2"/>
  <c r="T11" i="1"/>
  <c r="U11" i="1" s="1"/>
  <c r="AM11" i="1" s="1"/>
  <c r="K14" i="1"/>
  <c r="AD14" i="1" s="1"/>
  <c r="AJ13" i="1" s="1"/>
  <c r="G15" i="1"/>
  <c r="G18" i="1"/>
  <c r="G21" i="1"/>
  <c r="G25" i="1"/>
  <c r="T25" i="1"/>
  <c r="U25" i="1" s="1"/>
  <c r="T8" i="1"/>
  <c r="T9" i="1"/>
  <c r="AD9" i="1"/>
  <c r="AJ8" i="1" s="1"/>
  <c r="T6" i="1"/>
  <c r="AD6" i="1"/>
  <c r="T7" i="1"/>
  <c r="U7" i="1" s="1"/>
  <c r="AM7" i="1" s="1"/>
  <c r="G8" i="1"/>
  <c r="T10" i="1"/>
  <c r="U10" i="1" s="1"/>
  <c r="AM10" i="1" s="1"/>
  <c r="T13" i="1"/>
  <c r="U13" i="1" s="1"/>
  <c r="AM13" i="1" s="1"/>
  <c r="H14" i="1"/>
  <c r="J14" i="1"/>
  <c r="L14" i="1"/>
  <c r="P14" i="1"/>
  <c r="T16" i="1"/>
  <c r="U16" i="1" s="1"/>
  <c r="AM16" i="1" s="1"/>
  <c r="T18" i="1"/>
  <c r="U18" i="1" s="1"/>
  <c r="AM18" i="1" s="1"/>
  <c r="T21" i="1"/>
  <c r="U21" i="1" s="1"/>
  <c r="AM21" i="1" s="1"/>
  <c r="T23" i="1"/>
  <c r="U23" i="1" s="1"/>
  <c r="AM23" i="1" s="1"/>
  <c r="AA25" i="1"/>
  <c r="T12" i="1"/>
  <c r="U12" i="1" s="1"/>
  <c r="AM12" i="1" s="1"/>
  <c r="Q14" i="1"/>
  <c r="T15" i="1"/>
  <c r="U15" i="1" s="1"/>
  <c r="AM15" i="1" s="1"/>
  <c r="T17" i="1"/>
  <c r="U17" i="1" s="1"/>
  <c r="AM17" i="1" s="1"/>
  <c r="T19" i="1"/>
  <c r="U19" i="1" s="1"/>
  <c r="AM19" i="1" s="1"/>
  <c r="T20" i="1"/>
  <c r="U20" i="1" s="1"/>
  <c r="AA20" i="1" s="1"/>
  <c r="T22" i="1"/>
  <c r="U22" i="1" s="1"/>
  <c r="AM22" i="1" s="1"/>
  <c r="T24" i="1"/>
  <c r="U24" i="1" s="1"/>
  <c r="AM24" i="1" s="1"/>
  <c r="AA11" i="1" l="1"/>
  <c r="G12" i="1"/>
  <c r="T14" i="1"/>
  <c r="U14" i="1" s="1"/>
  <c r="AM14" i="1" s="1"/>
  <c r="AJ14" i="2"/>
  <c r="AJ7" i="2"/>
  <c r="AW7" i="2"/>
  <c r="AN7" i="2"/>
  <c r="AD7" i="2"/>
  <c r="G14" i="1"/>
  <c r="AA17" i="1"/>
  <c r="AA7" i="1"/>
  <c r="AQ7" i="1" s="1"/>
  <c r="AA13" i="1"/>
  <c r="AB13" i="1" s="1"/>
  <c r="AA18" i="1"/>
  <c r="AQ18" i="1" s="1"/>
  <c r="AZ20" i="1"/>
  <c r="AQ20" i="1"/>
  <c r="AB20" i="1"/>
  <c r="AG20" i="1"/>
  <c r="AZ25" i="1"/>
  <c r="AQ25" i="1"/>
  <c r="AB25" i="1"/>
  <c r="AG25" i="1"/>
  <c r="AA22" i="1"/>
  <c r="AG17" i="1"/>
  <c r="AZ17" i="1"/>
  <c r="AQ17" i="1"/>
  <c r="AB17" i="1"/>
  <c r="AZ13" i="1"/>
  <c r="AQ13" i="1"/>
  <c r="U6" i="1"/>
  <c r="AB18" i="1"/>
  <c r="AA15" i="1"/>
  <c r="AG13" i="1"/>
  <c r="U8" i="1"/>
  <c r="AZ11" i="1"/>
  <c r="AQ11" i="1"/>
  <c r="AB11" i="1"/>
  <c r="AG11" i="1"/>
  <c r="AZ7" i="1"/>
  <c r="AB7" i="1"/>
  <c r="AA14" i="1"/>
  <c r="AA12" i="1"/>
  <c r="AA23" i="1"/>
  <c r="AA19" i="1"/>
  <c r="AA16" i="1"/>
  <c r="AA24" i="1"/>
  <c r="AA21" i="1"/>
  <c r="U9" i="1"/>
  <c r="AA10" i="1"/>
  <c r="AG7" i="1"/>
  <c r="AZ18" i="1" l="1"/>
  <c r="AW10" i="2"/>
  <c r="AN10" i="2"/>
  <c r="AD10" i="2"/>
  <c r="AD9" i="2"/>
  <c r="AW9" i="2"/>
  <c r="AN9" i="2"/>
  <c r="AD11" i="2"/>
  <c r="AW11" i="2"/>
  <c r="AN11" i="2"/>
  <c r="AD15" i="2"/>
  <c r="AW15" i="2"/>
  <c r="AN15" i="2"/>
  <c r="AW13" i="2"/>
  <c r="AN13" i="2"/>
  <c r="AD13" i="2"/>
  <c r="AW8" i="2"/>
  <c r="AN8" i="2"/>
  <c r="AD8" i="2"/>
  <c r="AG18" i="1"/>
  <c r="AZ10" i="1"/>
  <c r="AQ10" i="1"/>
  <c r="AB10" i="1"/>
  <c r="AG10" i="1"/>
  <c r="AM9" i="1"/>
  <c r="AA9" i="1"/>
  <c r="AZ21" i="1"/>
  <c r="AQ21" i="1"/>
  <c r="AB21" i="1"/>
  <c r="AG21" i="1"/>
  <c r="AZ16" i="1"/>
  <c r="AQ16" i="1"/>
  <c r="AB16" i="1"/>
  <c r="AG16" i="1"/>
  <c r="AZ23" i="1"/>
  <c r="AQ23" i="1"/>
  <c r="AB23" i="1"/>
  <c r="AG23" i="1"/>
  <c r="AG12" i="1"/>
  <c r="AZ12" i="1"/>
  <c r="AQ12" i="1"/>
  <c r="AB12" i="1"/>
  <c r="AM8" i="1"/>
  <c r="AA8" i="1"/>
  <c r="AM6" i="1"/>
  <c r="AA6" i="1"/>
  <c r="AZ22" i="1"/>
  <c r="AQ22" i="1"/>
  <c r="AB22" i="1"/>
  <c r="AG22" i="1"/>
  <c r="AZ24" i="1"/>
  <c r="AQ24" i="1"/>
  <c r="AB24" i="1"/>
  <c r="AG24" i="1"/>
  <c r="AG19" i="1"/>
  <c r="AZ19" i="1"/>
  <c r="AQ19" i="1"/>
  <c r="AB19" i="1"/>
  <c r="AZ14" i="1"/>
  <c r="AQ14" i="1"/>
  <c r="AB14" i="1"/>
  <c r="AG14" i="1"/>
  <c r="AG15" i="1"/>
  <c r="AZ15" i="1"/>
  <c r="AQ15" i="1"/>
  <c r="AB15" i="1"/>
  <c r="AJ12" i="2" l="1"/>
  <c r="AW14" i="2"/>
  <c r="AN14" i="2"/>
  <c r="AD14" i="2"/>
  <c r="AZ6" i="1"/>
  <c r="AQ6" i="1"/>
  <c r="AB6" i="1"/>
  <c r="AG6" i="1"/>
  <c r="AZ9" i="1"/>
  <c r="AQ9" i="1"/>
  <c r="AB9" i="1"/>
  <c r="AG9" i="1"/>
  <c r="AZ8" i="1"/>
  <c r="AQ8" i="1"/>
  <c r="AB8" i="1"/>
  <c r="AG8" i="1"/>
  <c r="AD12" i="2" l="1"/>
  <c r="AN12" i="2"/>
  <c r="AW12" i="2"/>
  <c r="X6" i="2" l="1"/>
  <c r="AJ6" i="2" l="1"/>
  <c r="Y6" i="2" l="1"/>
  <c r="AD6" i="2"/>
  <c r="AN6" i="2"/>
  <c r="AW6" i="2"/>
</calcChain>
</file>

<file path=xl/comments1.xml><?xml version="1.0" encoding="utf-8"?>
<comments xmlns="http://schemas.openxmlformats.org/spreadsheetml/2006/main">
  <authors>
    <author>1512738</author>
    <author>Lisa</author>
    <author>LENOVO Z40</author>
  </authors>
  <commentList>
    <comment ref="AV6" authorId="0" shapeId="0">
      <text>
        <r>
          <rPr>
            <b/>
            <sz val="9"/>
            <color indexed="81"/>
            <rFont val="Tahoma"/>
            <family val="2"/>
          </rPr>
          <t>1512738: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9" authorId="0" shapeId="0">
      <text>
        <r>
          <rPr>
            <b/>
            <sz val="9"/>
            <color indexed="81"/>
            <rFont val="Tahoma"/>
            <family val="2"/>
          </rPr>
          <t>1512738: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0" authorId="1" shapeId="0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THANG TRUOC CHUYEN THIEU</t>
        </r>
      </text>
    </comment>
    <comment ref="Y10" authorId="1" shapeId="0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do pit thang 6 giam do dang ky giam tru gia canh</t>
        </r>
      </text>
    </comment>
    <comment ref="AV12" authorId="0" shapeId="0">
      <text>
        <r>
          <rPr>
            <b/>
            <sz val="9"/>
            <color indexed="81"/>
            <rFont val="Tahoma"/>
            <family val="2"/>
          </rPr>
          <t>1512738: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15" authorId="0" shapeId="0">
      <text>
        <r>
          <rPr>
            <b/>
            <sz val="9"/>
            <color indexed="81"/>
            <rFont val="Tahoma"/>
            <family val="2"/>
          </rPr>
          <t>1512738: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18" authorId="0" shapeId="0">
      <text>
        <r>
          <rPr>
            <b/>
            <sz val="9"/>
            <color indexed="81"/>
            <rFont val="Tahoma"/>
            <family val="2"/>
          </rPr>
          <t>1512738: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0" authorId="2" shapeId="0">
      <text>
        <r>
          <rPr>
            <sz val="10"/>
            <color indexed="81"/>
            <rFont val="Tahoma"/>
            <family val="2"/>
          </rPr>
          <t xml:space="preserve">Finance:
Thu viec 23/3 - 22/5: 85%
Tu 23/5 - 25/5: full
</t>
        </r>
      </text>
    </comment>
    <comment ref="AV21" authorId="0" shapeId="0">
      <text>
        <r>
          <rPr>
            <b/>
            <sz val="9"/>
            <color indexed="81"/>
            <rFont val="Tahoma"/>
            <family val="2"/>
          </rPr>
          <t>1512738: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24" authorId="0" shapeId="0">
      <text>
        <r>
          <rPr>
            <b/>
            <sz val="9"/>
            <color indexed="81"/>
            <rFont val="Tahoma"/>
            <family val="2"/>
          </rPr>
          <t>1512738: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5" authorId="1" shapeId="0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join 6 Apr 2015</t>
        </r>
      </text>
    </comment>
    <comment ref="K25" authorId="2" shapeId="0">
      <text>
        <r>
          <rPr>
            <sz val="10"/>
            <color indexed="81"/>
            <rFont val="Tahoma"/>
            <family val="2"/>
          </rPr>
          <t xml:space="preserve">Finanace:
16 mil (gross)
Thu viec ko co phu cap 1.650.000 -&gt; 14.350.000
</t>
        </r>
      </text>
    </comment>
  </commentList>
</comments>
</file>

<file path=xl/comments2.xml><?xml version="1.0" encoding="utf-8"?>
<comments xmlns="http://schemas.openxmlformats.org/spreadsheetml/2006/main">
  <authors>
    <author>1512738</author>
    <author>Lisa</author>
    <author>LENOVO Z40</author>
  </authors>
  <commentList>
    <comment ref="AY6" authorId="0" shapeId="0">
      <text>
        <r>
          <rPr>
            <b/>
            <sz val="9"/>
            <color indexed="81"/>
            <rFont val="Tahoma"/>
            <family val="2"/>
          </rPr>
          <t>1512738: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Y9" authorId="0" shapeId="0">
      <text>
        <r>
          <rPr>
            <b/>
            <sz val="9"/>
            <color indexed="81"/>
            <rFont val="Tahoma"/>
            <family val="2"/>
          </rPr>
          <t>1512738: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0" authorId="1" shapeId="0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THANG TRUOC CHUYEN THIEU</t>
        </r>
      </text>
    </comment>
    <comment ref="AB10" authorId="1" shapeId="0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do pit thang 6 giam do dang ky giam tru gia canh</t>
        </r>
      </text>
    </comment>
    <comment ref="M12" authorId="1" shapeId="0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SITE ALLOWANCE + BONUS</t>
        </r>
      </text>
    </comment>
    <comment ref="AY12" authorId="0" shapeId="0">
      <text>
        <r>
          <rPr>
            <b/>
            <sz val="9"/>
            <color indexed="81"/>
            <rFont val="Tahoma"/>
            <family val="2"/>
          </rPr>
          <t>1512738: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Y15" authorId="0" shapeId="0">
      <text>
        <r>
          <rPr>
            <b/>
            <sz val="9"/>
            <color indexed="81"/>
            <rFont val="Tahoma"/>
            <family val="2"/>
          </rPr>
          <t>1512738: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6" authorId="2" shapeId="0">
      <text>
        <r>
          <rPr>
            <b/>
            <sz val="10"/>
            <color indexed="81"/>
            <rFont val="Tahoma"/>
            <family val="2"/>
          </rPr>
          <t>Thuy:
Tu T3: $500*21.595
=10.797.500 vnd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Y18" authorId="0" shapeId="0">
      <text>
        <r>
          <rPr>
            <b/>
            <sz val="9"/>
            <color indexed="81"/>
            <rFont val="Tahoma"/>
            <family val="2"/>
          </rPr>
          <t>1512738: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0" authorId="2" shapeId="0">
      <text>
        <r>
          <rPr>
            <sz val="10"/>
            <color indexed="81"/>
            <rFont val="Tahoma"/>
            <family val="2"/>
          </rPr>
          <t xml:space="preserve">Finance:
Thu viec 23/3 - 22/5: 85%
Tu 23/5 - 25/5: full
</t>
        </r>
      </text>
    </comment>
    <comment ref="AY21" authorId="0" shapeId="0">
      <text>
        <r>
          <rPr>
            <b/>
            <sz val="9"/>
            <color indexed="81"/>
            <rFont val="Tahoma"/>
            <family val="2"/>
          </rPr>
          <t>1512738: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2" authorId="2" shapeId="0">
      <text>
        <r>
          <rPr>
            <b/>
            <sz val="10"/>
            <color indexed="81"/>
            <rFont val="Tahoma"/>
            <family val="2"/>
          </rPr>
          <t>Finance:
Net salary: 6mil (04.15)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Y24" authorId="0" shapeId="0">
      <text>
        <r>
          <rPr>
            <b/>
            <sz val="9"/>
            <color indexed="81"/>
            <rFont val="Tahoma"/>
            <family val="2"/>
          </rPr>
          <t>1512738: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5" authorId="1" shapeId="0">
      <text>
        <r>
          <rPr>
            <b/>
            <sz val="9"/>
            <color indexed="81"/>
            <rFont val="Tahoma"/>
            <family val="2"/>
          </rPr>
          <t>Lisa:</t>
        </r>
        <r>
          <rPr>
            <sz val="9"/>
            <color indexed="81"/>
            <rFont val="Tahoma"/>
            <family val="2"/>
          </rPr>
          <t xml:space="preserve">
join 6 Apr 2015</t>
        </r>
      </text>
    </comment>
    <comment ref="N25" authorId="2" shapeId="0">
      <text>
        <r>
          <rPr>
            <sz val="10"/>
            <color indexed="81"/>
            <rFont val="Tahoma"/>
            <family val="2"/>
          </rPr>
          <t xml:space="preserve">Finanace:
16 mil (gross)
Thu viec ko co phu cap 1.650.000 -&gt; 14.350.000
</t>
        </r>
      </text>
    </comment>
  </commentList>
</comments>
</file>

<file path=xl/sharedStrings.xml><?xml version="1.0" encoding="utf-8"?>
<sst xmlns="http://schemas.openxmlformats.org/spreadsheetml/2006/main" count="294" uniqueCount="171">
  <si>
    <t>PAY ROLL FOR MARCH 2016</t>
  </si>
  <si>
    <t>No</t>
  </si>
  <si>
    <t>Beneficiary's name</t>
  </si>
  <si>
    <t>Position</t>
  </si>
  <si>
    <t>Start working day</t>
  </si>
  <si>
    <t>Account No</t>
  </si>
  <si>
    <t>Beneficiary's bank</t>
  </si>
  <si>
    <t>Total Employer Pay</t>
  </si>
  <si>
    <t>Insurance</t>
  </si>
  <si>
    <t xml:space="preserve">GROSS + Everance </t>
  </si>
  <si>
    <t>Gross</t>
  </si>
  <si>
    <t>BONUS 2015</t>
  </si>
  <si>
    <t>Basis Salary</t>
  </si>
  <si>
    <t>Performance Salary</t>
  </si>
  <si>
    <t>No. of dependants</t>
  </si>
  <si>
    <t>Taxed income</t>
  </si>
  <si>
    <t>PIT</t>
  </si>
  <si>
    <t>Expenses claim</t>
  </si>
  <si>
    <t>Over time</t>
  </si>
  <si>
    <t>Allowances</t>
  </si>
  <si>
    <t>Take home pay</t>
  </si>
  <si>
    <t>SALARY PAY ON WORKING DAY</t>
  </si>
  <si>
    <t>SALE DEPT</t>
  </si>
  <si>
    <t>PIT SUM</t>
  </si>
  <si>
    <t>TET Bonus</t>
  </si>
  <si>
    <t>TET Bonus diff</t>
  </si>
  <si>
    <t>Take home pay diff before</t>
  </si>
  <si>
    <t>Take home pay diff before comparing Feb Payroll</t>
  </si>
  <si>
    <t>PIT diff</t>
  </si>
  <si>
    <t>consol</t>
  </si>
  <si>
    <t>SI (18%)</t>
  </si>
  <si>
    <t>HI (3%)</t>
  </si>
  <si>
    <t>UI (1%)</t>
  </si>
  <si>
    <t>SI (8%)</t>
  </si>
  <si>
    <t>HI (1.5%)</t>
  </si>
  <si>
    <t>Lunch</t>
  </si>
  <si>
    <t>Transportation</t>
  </si>
  <si>
    <t>Tel</t>
  </si>
  <si>
    <t>E001</t>
  </si>
  <si>
    <t>KELLY KAO THIAM LEONG</t>
  </si>
  <si>
    <t>DIRECTOR</t>
  </si>
  <si>
    <t>091-069187-041</t>
  </si>
  <si>
    <t>HSBC - TP.HCM</t>
  </si>
  <si>
    <t>ADMIN</t>
  </si>
  <si>
    <t>Management</t>
  </si>
  <si>
    <t>E002</t>
  </si>
  <si>
    <t>LIM TIAM HEE</t>
  </si>
  <si>
    <t>SALES MANAGER</t>
  </si>
  <si>
    <t>001-347715-041</t>
  </si>
  <si>
    <t>E003</t>
  </si>
  <si>
    <t>NGUYỄN THÚY LIÊN</t>
  </si>
  <si>
    <t>ASSISTANT</t>
  </si>
  <si>
    <t>0721000557874</t>
  </si>
  <si>
    <t>VCB- CHI NHÁNH KỲ ĐỒNG, TP.HCM</t>
  </si>
  <si>
    <t>E004</t>
  </si>
  <si>
    <t>NGUYỄN THẾ HUY</t>
  </si>
  <si>
    <t>TECHNICAL SUPPORT</t>
  </si>
  <si>
    <t>068704060053539</t>
  </si>
  <si>
    <t>VIB, Trung tâm Kinh Doanh HO</t>
  </si>
  <si>
    <t>Technical</t>
  </si>
  <si>
    <t>E005</t>
  </si>
  <si>
    <t>LÊ NAM HẢI</t>
  </si>
  <si>
    <t>0071004672847</t>
  </si>
  <si>
    <t xml:space="preserve">Vietcombank, chi nhánh HCM </t>
  </si>
  <si>
    <t>E006</t>
  </si>
  <si>
    <t>TRẦN DANH HẢI</t>
  </si>
  <si>
    <t>19026911831015</t>
  </si>
  <si>
    <t>Techcombank - CN Nguyễn Oanh, TP.HCM</t>
  </si>
  <si>
    <t>KO</t>
  </si>
  <si>
    <t>E007</t>
  </si>
  <si>
    <t>NGUYỄN XUÂN TUẤN</t>
  </si>
  <si>
    <t>PROJECT MANAGER</t>
  </si>
  <si>
    <t>4214945601151483</t>
  </si>
  <si>
    <t>ACB - PDG Citi Plaza, TP.HCM</t>
  </si>
  <si>
    <t>Sales</t>
  </si>
  <si>
    <t>E009</t>
  </si>
  <si>
    <t>ĐỖ HÙNG CƯỜNG</t>
  </si>
  <si>
    <t>SALES ENGINEER</t>
  </si>
  <si>
    <t xml:space="preserve">0531000277380 </t>
  </si>
  <si>
    <t>Vietcombank- CN Bình Thạnh</t>
  </si>
  <si>
    <t>E011</t>
  </si>
  <si>
    <t>ĐỖ THANH TÁNH</t>
  </si>
  <si>
    <t>31310000662543</t>
  </si>
  <si>
    <t>BIDV-TPHCM</t>
  </si>
  <si>
    <t>E012</t>
  </si>
  <si>
    <t>VÕ TRƯỜNG GIANG</t>
  </si>
  <si>
    <t>99190 660 799</t>
  </si>
  <si>
    <t>Standard Chartered Bank (VIET NAM) LIMITED, HCM CITY Branch</t>
  </si>
  <si>
    <t>E014</t>
  </si>
  <si>
    <t>CÙ THỊ HUYỀN TRANG</t>
  </si>
  <si>
    <t>711A36119702</t>
  </si>
  <si>
    <t>Viettin bank. Chi nhánh: Hai Bà Trưng – Hà Nội</t>
  </si>
  <si>
    <t>E016</t>
  </si>
  <si>
    <t>NGUYỄN THỊ KIỀU OANH</t>
  </si>
  <si>
    <t>LOGISTICS</t>
  </si>
  <si>
    <t>0421000400872</t>
  </si>
  <si>
    <t>VCB- CHI NHÁNH PHÚ THỌ, TP.HCM</t>
  </si>
  <si>
    <t>Office</t>
  </si>
  <si>
    <t>E017</t>
  </si>
  <si>
    <t>NGÔ XUÂN MAI</t>
  </si>
  <si>
    <t>14010000985772</t>
  </si>
  <si>
    <t>BIDV-Chi nhánh Sài Gòn</t>
  </si>
  <si>
    <t>E019</t>
  </si>
  <si>
    <t>CAO XUÂN PHƯỢNG</t>
  </si>
  <si>
    <t>SALES ADMIN</t>
  </si>
  <si>
    <t>711A24054176</t>
  </si>
  <si>
    <t>VIETINBANK, chi nhánh Đống Đa</t>
  </si>
  <si>
    <t>Sales Admin</t>
  </si>
  <si>
    <t>E022</t>
  </si>
  <si>
    <t>TRẦN THỊ CẨM THÚY.</t>
  </si>
  <si>
    <t>CHIEF ACCOUNTANT</t>
  </si>
  <si>
    <t>71004938970</t>
  </si>
  <si>
    <t>Vietcombank - Tp. HCM</t>
  </si>
  <si>
    <t>Finance</t>
  </si>
  <si>
    <t>E024</t>
  </si>
  <si>
    <t>VÕ THỊ ÁI NỊ</t>
  </si>
  <si>
    <t xml:space="preserve">ACCOUNTANT </t>
  </si>
  <si>
    <t>710 920 504 2751</t>
  </si>
  <si>
    <t>Agribank-CN Đồng Khởi-TP Bến Tre</t>
  </si>
  <si>
    <t>E026</t>
  </si>
  <si>
    <t>LẠI VƯƠNG CHÂU</t>
  </si>
  <si>
    <t>DRIVER</t>
  </si>
  <si>
    <t>170610139</t>
  </si>
  <si>
    <t>ACB- Tô Ký-TP.HCM</t>
  </si>
  <si>
    <t>E027</t>
  </si>
  <si>
    <t>LÊ VŨ TRÍ DŨNG</t>
  </si>
  <si>
    <t>STOREKEEPER cum DELIVERER</t>
  </si>
  <si>
    <t>0441000627029</t>
  </si>
  <si>
    <t>VCB-CN Tân Bình, TP.HCM</t>
  </si>
  <si>
    <t>Warehouse</t>
  </si>
  <si>
    <t>E028</t>
  </si>
  <si>
    <t>TRẦN THỊ HỒNG THẮM</t>
  </si>
  <si>
    <t>CLEANER</t>
  </si>
  <si>
    <t>13510000495963</t>
  </si>
  <si>
    <t>BIDV-CN Gia Định-TPHCM</t>
  </si>
  <si>
    <t>E029</t>
  </si>
  <si>
    <t>PHAN VĂN THUẬN</t>
  </si>
  <si>
    <t>21510001427290</t>
  </si>
  <si>
    <t>BIDV-CN Cầu Giấy</t>
  </si>
  <si>
    <t>SALES</t>
  </si>
  <si>
    <t>TRAN THI CAM THUY</t>
  </si>
  <si>
    <t>NGUYEN THUY LIEN</t>
  </si>
  <si>
    <t>PAY ROLL</t>
  </si>
  <si>
    <t>Đến 5 triệu đồng (trđ)</t>
  </si>
  <si>
    <t>Trên 5 trđ đến 10 trđ</t>
  </si>
  <si>
    <t>Trên 10 trđ đến 18 trđ</t>
  </si>
  <si>
    <t>Trên 18 trđ đến 32 trđ</t>
  </si>
  <si>
    <t>Trên 32 trđ đến 52 trđ</t>
  </si>
  <si>
    <t>Trên 52 trđ đến 80 trđ</t>
  </si>
  <si>
    <t>Trên 80 trđ</t>
  </si>
  <si>
    <t>Thu nhập tính thuế /tháng
Taxed income</t>
  </si>
  <si>
    <t>Thuế suất
Tax rate</t>
  </si>
  <si>
    <t>Bậc
Level</t>
  </si>
  <si>
    <t>Nguyễn Văn A</t>
  </si>
  <si>
    <t>No
Stt</t>
  </si>
  <si>
    <t>Beneficiary's name
Họ và tên</t>
  </si>
  <si>
    <t>Position
Chức danh</t>
  </si>
  <si>
    <t>Beneficiary's bank
TT tài khoản ngân hàng</t>
  </si>
  <si>
    <t>Total Employer Pay
Tổng chi phí doanh nghiệp chi trả</t>
  </si>
  <si>
    <t>Insurance of company
Bảo hiểm xã hội công ty phải chịu</t>
  </si>
  <si>
    <t>Gross salary
Tổng lương</t>
  </si>
  <si>
    <t>Insurance of employee
Tổng bảo hiểm trừ vào lương của người lao động</t>
  </si>
  <si>
    <t>No. Persons of family circumstancies
Số người phụ thuộc</t>
  </si>
  <si>
    <t>Dependants Amount
Tổng sô tiền kháu trừ</t>
  </si>
  <si>
    <t>Taxed income
Thu nhập tính thuế</t>
  </si>
  <si>
    <t>PIT
Thuế TNCN</t>
  </si>
  <si>
    <t>Allowances
Phụ cấp</t>
  </si>
  <si>
    <t>Take home pay
Thực nhận</t>
  </si>
  <si>
    <t>Bonus 
Các khoản thưởng</t>
  </si>
  <si>
    <t>Basic Salary
Lương cơ bản</t>
  </si>
  <si>
    <t>Over time
Lương tăng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</si>
</sst>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41" formatCode="_-* #,##0\ _₫_-;\-* #,##0\ _₫_-;_-* &quot;-&quot;\ _₫_-;_-@_-"/>
    <numFmt numFmtId="43" formatCode="_-* #,##0.00\ _₫_-;\-* #,##0.00\ _₫_-;_-* &quot;-&quot;??\ _₫_-;_-@_-"/>
    <numFmt numFmtId="164" formatCode="_(* #,##0.00_);_(* \(#,##0.00\);_(* &quot;-&quot;??_);_(@_)"/>
    <numFmt numFmtId="165" formatCode="_-* #,##0.00_-;\-* #,##0.00_-;_-* &quot;-&quot;??_-;_-@_-"/>
    <numFmt numFmtId="166" formatCode="_-* #,##0_-;\-* #,##0_-;_-* &quot;-&quot;??_-;_-@_-"/>
    <numFmt numFmtId="167" formatCode="_-* #,##0.0_-;\-* #,##0.0_-;_-* &quot;-&quot;??_-;_-@_-"/>
    <numFmt numFmtId="168" formatCode="_(* #,##0_);_(* \(#,##0\);_(* &quot;-&quot;??_);_(@_)"/>
    <numFmt numFmtId="169" formatCode="_-&quot;£&quot;* #,##0_-;\-&quot;£&quot;* #,##0_-;_-&quot;£&quot;* &quot;-&quot;_-;_-@_-"/>
    <numFmt numFmtId="170" formatCode="0.000%"/>
    <numFmt numFmtId="171" formatCode="#,##0\ &quot;DM&quot;;\-#,##0\ &quot;DM&quot;"/>
    <numFmt numFmtId="172" formatCode="_ * #,##0.00_ ;_ * \-#,##0.00_ ;_ * &quot;-&quot;??_ ;_ @_ "/>
    <numFmt numFmtId="173" formatCode="_ * #,##0_ ;_ * \-#,##0_ ;_ * &quot;-&quot;_ ;_ @_ "/>
    <numFmt numFmtId="174" formatCode="_-* #,##0_-;\-* #,##0_-;_-* &quot;-&quot;_-;_-@_-"/>
    <numFmt numFmtId="175" formatCode="&quot;£&quot;#,##0;[Red]\-&quot;£&quot;#,##0"/>
    <numFmt numFmtId="176" formatCode="_-* #,##0\ _F_-;\-* #,##0\ _F_-;_-* &quot;-&quot;\ _F_-;_-@_-"/>
    <numFmt numFmtId="177" formatCode="_ &quot;\&quot;* #,##0_ ;_ &quot;\&quot;* \-#,##0_ ;_ &quot;\&quot;* &quot;-&quot;_ ;_ @_ "/>
    <numFmt numFmtId="178" formatCode="_ &quot;\&quot;* #,##0.00_ ;_ &quot;\&quot;* \-#,##0.00_ ;_ &quot;\&quot;* &quot;-&quot;??_ ;_ @_ "/>
    <numFmt numFmtId="179" formatCode="0.0%"/>
    <numFmt numFmtId="180" formatCode="&quot;£&quot;#,##0.00"/>
    <numFmt numFmtId="181" formatCode="#\ ###\ ###"/>
    <numFmt numFmtId="182" formatCode="\$#,##0\ ;\(\$#,##0\)"/>
    <numFmt numFmtId="183" formatCode="#\ ###\ ##0.0"/>
    <numFmt numFmtId="184" formatCode="_-* #,##0\ _D_M_-;\-* #,##0\ _D_M_-;_-* &quot;-&quot;\ _D_M_-;_-@_-"/>
    <numFmt numFmtId="185" formatCode="_-* #,##0.00\ _D_M_-;\-* #,##0.00\ _D_M_-;_-* &quot;-&quot;??\ _D_M_-;_-@_-"/>
    <numFmt numFmtId="186" formatCode="#\ ###\ ###\ .00"/>
    <numFmt numFmtId="187" formatCode="&quot;£&quot;#,##0;\-&quot;£&quot;#,##0"/>
    <numFmt numFmtId="188" formatCode="#,##0\ &quot;£&quot;_);[Red]\(#,##0\ &quot;£&quot;\)"/>
    <numFmt numFmtId="189" formatCode="&quot;£&quot;###,0&quot;.&quot;00_);[Red]\(&quot;£&quot;###,0&quot;.&quot;00\)"/>
    <numFmt numFmtId="190" formatCode="#,##0&quot;£&quot;;[Red]\-#,##0&quot;£&quot;"/>
    <numFmt numFmtId="191" formatCode="#,##0.00&quot;£&quot;;[Red]\-#,##0.00&quot;£&quot;"/>
    <numFmt numFmtId="192" formatCode="0.00_)"/>
    <numFmt numFmtId="193" formatCode="#,##0.00\ &quot;F&quot;;[Red]\-#,##0.00\ &quot;F&quot;"/>
    <numFmt numFmtId="194" formatCode="#,##0.00\ \ \ \ "/>
    <numFmt numFmtId="195" formatCode="_-* #,##0\ &quot;F&quot;_-;\-* #,##0\ &quot;F&quot;_-;_-* &quot;-&quot;\ &quot;F&quot;_-;_-@_-"/>
    <numFmt numFmtId="196" formatCode="#,##0\ &quot;F&quot;;[Red]\-#,##0\ &quot;F&quot;"/>
    <numFmt numFmtId="197" formatCode="#,##0.00\ &quot;F&quot;;\-#,##0.00\ &quot;F&quot;"/>
    <numFmt numFmtId="198" formatCode="_-* #,##0\ &quot;DM&quot;_-;\-* #,##0\ &quot;DM&quot;_-;_-* &quot;-&quot;\ &quot;DM&quot;_-;_-@_-"/>
    <numFmt numFmtId="199" formatCode="_-* #,##0.00\ &quot;DM&quot;_-;\-* #,##0.00\ &quot;DM&quot;_-;_-* &quot;-&quot;??\ &quot;DM&quot;_-;_-@_-"/>
    <numFmt numFmtId="200" formatCode="_-&quot;£&quot;* #,##0.00_-;\-&quot;£&quot;* #,##0.00_-;_-&quot;£&quot;* &quot;-&quot;??_-;_-@_-"/>
    <numFmt numFmtId="201" formatCode="0.000"/>
    <numFmt numFmtId="202" formatCode="_ * #,##0.00_ ;_ * \-#,##0.00_ ;_ * &quot;-&quot;_ ;_ @_ "/>
  </numFmts>
  <fonts count="81"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  <scheme val="minor"/>
    </font>
    <font>
      <sz val="10"/>
      <name val="VNI-Times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2"/>
      <name val="VNI-Times"/>
    </font>
    <font>
      <sz val="12"/>
      <name val=".VnTime"/>
      <family val="2"/>
    </font>
    <font>
      <sz val="11"/>
      <name val="??"/>
      <family val="3"/>
    </font>
    <font>
      <sz val="10"/>
      <name val="?? ??"/>
      <family val="1"/>
      <charset val="136"/>
    </font>
    <font>
      <sz val="10"/>
      <name val=".VnArial"/>
      <family val="2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Times New Roman"/>
      <family val="1"/>
    </font>
    <font>
      <sz val="12"/>
      <name val="|??¢¥¢¬¨Ï"/>
      <family val="1"/>
      <charset val="129"/>
    </font>
    <font>
      <sz val="10"/>
      <name val=".VnTime"/>
      <family val="2"/>
    </font>
    <font>
      <sz val="12"/>
      <name val="???"/>
    </font>
    <font>
      <sz val="11"/>
      <name val="–¾’©"/>
      <charset val="128"/>
    </font>
    <font>
      <sz val="11"/>
      <name val="–¾’©"/>
      <family val="1"/>
      <charset val="128"/>
    </font>
    <font>
      <b/>
      <u/>
      <sz val="14"/>
      <color indexed="8"/>
      <name val=".VnBook-AntiquaH"/>
      <family val="2"/>
    </font>
    <font>
      <sz val="12"/>
      <name val="¹ÙÅÁÃ¼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VNI-Helve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b/>
      <sz val="11"/>
      <name val="VNI-Aptima"/>
    </font>
    <font>
      <b/>
      <u/>
      <sz val="10"/>
      <name val="VNI-Helve"/>
    </font>
    <font>
      <sz val="11"/>
      <name val="µ¸¿ò"/>
      <charset val="129"/>
    </font>
    <font>
      <sz val="12"/>
      <name val="µ¸¿òÃ¼"/>
      <family val="3"/>
      <charset val="129"/>
    </font>
    <font>
      <sz val="10"/>
      <name val="±¼¸²A¼"/>
      <family val="3"/>
      <charset val="129"/>
    </font>
    <font>
      <b/>
      <sz val="10"/>
      <name val="Helv"/>
      <family val="2"/>
    </font>
    <font>
      <sz val="12"/>
      <name val="VNI-Aptima"/>
    </font>
    <font>
      <sz val="10"/>
      <name val="Arial CE"/>
      <charset val="238"/>
    </font>
    <font>
      <sz val="9"/>
      <name val="VNI-Aptima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family val="2"/>
    </font>
    <font>
      <b/>
      <sz val="18"/>
      <name val="Arial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0"/>
      <name val="MS Sans Serif"/>
      <family val="2"/>
    </font>
    <font>
      <b/>
      <sz val="11"/>
      <name val="Helv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name val=".VnTime"/>
      <family val="2"/>
    </font>
    <font>
      <sz val="10"/>
      <name val="Symbol"/>
      <family val="1"/>
      <charset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0"/>
      <name val="VNI-Univer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9"/>
      <name val="Arial"/>
      <family val="2"/>
    </font>
    <font>
      <sz val="11"/>
      <name val=".VnTime"/>
      <family val="2"/>
    </font>
    <font>
      <sz val="11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272">
    <xf numFmtId="0" fontId="0" fillId="0" borderId="0"/>
    <xf numFmtId="165" fontId="2" fillId="0" borderId="0" applyFont="0" applyFill="0" applyBorder="0" applyAlignment="0" applyProtection="0"/>
    <xf numFmtId="0" fontId="11" fillId="0" borderId="0"/>
    <xf numFmtId="0" fontId="1" fillId="0" borderId="0"/>
    <xf numFmtId="169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7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172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23" fillId="0" borderId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4" fillId="0" borderId="0"/>
    <xf numFmtId="0" fontId="2" fillId="0" borderId="0" applyNumberFormat="0" applyFill="0" applyBorder="0" applyAlignment="0" applyProtection="0"/>
    <xf numFmtId="176" fontId="1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6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74" fontId="16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77" fontId="26" fillId="0" borderId="0" applyFont="0" applyFill="0" applyBorder="0" applyAlignment="0" applyProtection="0"/>
    <xf numFmtId="0" fontId="27" fillId="0" borderId="0"/>
    <xf numFmtId="0" fontId="28" fillId="0" borderId="0"/>
    <xf numFmtId="177" fontId="26" fillId="0" borderId="0" applyFont="0" applyFill="0" applyBorder="0" applyAlignment="0" applyProtection="0"/>
    <xf numFmtId="0" fontId="29" fillId="7" borderId="0"/>
    <xf numFmtId="0" fontId="29" fillId="7" borderId="0"/>
    <xf numFmtId="0" fontId="29" fillId="7" borderId="0"/>
    <xf numFmtId="0" fontId="29" fillId="7" borderId="0"/>
    <xf numFmtId="0" fontId="29" fillId="7" borderId="0"/>
    <xf numFmtId="0" fontId="29" fillId="7" borderId="0"/>
    <xf numFmtId="9" fontId="30" fillId="0" borderId="0" applyFont="0" applyFill="0" applyBorder="0" applyAlignment="0" applyProtection="0"/>
    <xf numFmtId="0" fontId="31" fillId="7" borderId="0"/>
    <xf numFmtId="0" fontId="32" fillId="7" borderId="0"/>
    <xf numFmtId="0" fontId="33" fillId="0" borderId="0">
      <alignment wrapText="1"/>
    </xf>
    <xf numFmtId="0" fontId="25" fillId="0" borderId="0"/>
    <xf numFmtId="4" fontId="34" fillId="0" borderId="9">
      <alignment horizontal="center"/>
    </xf>
    <xf numFmtId="177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78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/>
    <xf numFmtId="173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69" fontId="16" fillId="0" borderId="0" applyFont="0" applyFill="0" applyBorder="0" applyAlignment="0" applyProtection="0"/>
    <xf numFmtId="3" fontId="38" fillId="0" borderId="10">
      <alignment horizontal="left"/>
    </xf>
    <xf numFmtId="4" fontId="38" fillId="0" borderId="10">
      <alignment horizontal="center"/>
    </xf>
    <xf numFmtId="3" fontId="38" fillId="0" borderId="9">
      <alignment horizontal="left"/>
    </xf>
    <xf numFmtId="3" fontId="38" fillId="0" borderId="10">
      <alignment horizontal="left"/>
    </xf>
    <xf numFmtId="0" fontId="36" fillId="0" borderId="0"/>
    <xf numFmtId="0" fontId="39" fillId="0" borderId="0"/>
    <xf numFmtId="0" fontId="36" fillId="0" borderId="0"/>
    <xf numFmtId="0" fontId="40" fillId="0" borderId="0"/>
    <xf numFmtId="0" fontId="41" fillId="0" borderId="0"/>
    <xf numFmtId="0" fontId="2" fillId="0" borderId="0" applyFill="0" applyBorder="0" applyAlignment="0"/>
    <xf numFmtId="179" fontId="2" fillId="0" borderId="0" applyFill="0" applyBorder="0" applyAlignment="0"/>
    <xf numFmtId="180" fontId="2" fillId="0" borderId="0" applyFill="0" applyBorder="0" applyAlignment="0"/>
    <xf numFmtId="0" fontId="42" fillId="0" borderId="0"/>
    <xf numFmtId="168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1" fontId="43" fillId="0" borderId="0"/>
    <xf numFmtId="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43" fillId="0" borderId="0"/>
    <xf numFmtId="4" fontId="38" fillId="0" borderId="9"/>
    <xf numFmtId="0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43" fillId="0" borderId="0"/>
    <xf numFmtId="17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0" fontId="2" fillId="0" borderId="0" applyFill="0" applyBorder="0" applyAlignment="0"/>
    <xf numFmtId="2" fontId="2" fillId="0" borderId="0" applyFont="0" applyFill="0" applyBorder="0" applyAlignment="0" applyProtection="0"/>
    <xf numFmtId="3" fontId="45" fillId="0" borderId="0" applyNumberFormat="0" applyFill="0" applyBorder="0" applyAlignment="0" applyProtection="0"/>
    <xf numFmtId="38" fontId="46" fillId="8" borderId="0" applyNumberFormat="0" applyBorder="0" applyAlignment="0" applyProtection="0"/>
    <xf numFmtId="0" fontId="47" fillId="0" borderId="0" applyNumberFormat="0" applyFont="0" applyBorder="0" applyAlignment="0">
      <alignment horizontal="left" vertical="center"/>
    </xf>
    <xf numFmtId="0" fontId="48" fillId="0" borderId="0">
      <alignment horizontal="left"/>
    </xf>
    <xf numFmtId="0" fontId="7" fillId="0" borderId="11" applyNumberFormat="0" applyAlignment="0" applyProtection="0">
      <alignment horizontal="left" vertical="center"/>
    </xf>
    <xf numFmtId="0" fontId="7" fillId="0" borderId="12">
      <alignment horizontal="left" vertical="center"/>
    </xf>
    <xf numFmtId="0" fontId="49" fillId="0" borderId="0" applyProtection="0"/>
    <xf numFmtId="0" fontId="7" fillId="0" borderId="0" applyProtection="0"/>
    <xf numFmtId="187" fontId="50" fillId="9" borderId="1" applyNumberFormat="0" applyAlignment="0">
      <alignment horizontal="left" vertical="top"/>
    </xf>
    <xf numFmtId="49" fontId="51" fillId="0" borderId="1">
      <alignment vertical="center"/>
    </xf>
    <xf numFmtId="174" fontId="11" fillId="0" borderId="0" applyFont="0" applyFill="0" applyBorder="0" applyAlignment="0" applyProtection="0"/>
    <xf numFmtId="10" fontId="46" fillId="8" borderId="1" applyNumberFormat="0" applyBorder="0" applyAlignment="0" applyProtection="0"/>
    <xf numFmtId="0" fontId="17" fillId="0" borderId="0"/>
    <xf numFmtId="0" fontId="2" fillId="0" borderId="0" applyFill="0" applyBorder="0" applyAlignment="0"/>
    <xf numFmtId="38" fontId="52" fillId="0" borderId="0" applyFont="0" applyFill="0" applyBorder="0" applyAlignment="0" applyProtection="0"/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40" fontId="52" fillId="0" borderId="0" applyFont="0" applyFill="0" applyBorder="0" applyAlignment="0" applyProtection="0"/>
    <xf numFmtId="0" fontId="53" fillId="0" borderId="13"/>
    <xf numFmtId="169" fontId="2" fillId="0" borderId="14"/>
    <xf numFmtId="188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0" fontId="6" fillId="0" borderId="0" applyNumberFormat="0" applyFont="0" applyFill="0" applyAlignment="0"/>
    <xf numFmtId="0" fontId="54" fillId="0" borderId="0"/>
    <xf numFmtId="0" fontId="25" fillId="0" borderId="6" applyNumberFormat="0" applyAlignment="0">
      <alignment horizontal="center"/>
    </xf>
    <xf numFmtId="37" fontId="55" fillId="0" borderId="0"/>
    <xf numFmtId="192" fontId="56" fillId="0" borderId="0"/>
    <xf numFmtId="0" fontId="1" fillId="0" borderId="0"/>
    <xf numFmtId="0" fontId="1" fillId="0" borderId="0"/>
    <xf numFmtId="0" fontId="17" fillId="0" borderId="0"/>
    <xf numFmtId="4" fontId="34" fillId="0" borderId="9">
      <alignment horizontal="left"/>
    </xf>
    <xf numFmtId="0" fontId="44" fillId="0" borderId="0"/>
    <xf numFmtId="0" fontId="5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0" fontId="2" fillId="0" borderId="0" applyFont="0" applyFill="0" applyBorder="0" applyAlignment="0" applyProtection="0"/>
    <xf numFmtId="9" fontId="52" fillId="0" borderId="15" applyNumberFormat="0" applyBorder="0"/>
    <xf numFmtId="0" fontId="58" fillId="0" borderId="16" applyFill="0" applyBorder="0" applyAlignment="0" applyProtection="0">
      <alignment horizontal="right"/>
    </xf>
    <xf numFmtId="0" fontId="2" fillId="0" borderId="0" applyFill="0" applyBorder="0" applyAlignment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" fontId="59" fillId="10" borderId="17" applyNumberFormat="0" applyProtection="0">
      <alignment vertical="center"/>
    </xf>
    <xf numFmtId="4" fontId="60" fillId="10" borderId="17" applyNumberFormat="0" applyProtection="0">
      <alignment vertical="center"/>
    </xf>
    <xf numFmtId="4" fontId="61" fillId="10" borderId="17" applyNumberFormat="0" applyProtection="0">
      <alignment horizontal="left" vertical="center" indent="1"/>
    </xf>
    <xf numFmtId="4" fontId="61" fillId="11" borderId="0" applyNumberFormat="0" applyProtection="0">
      <alignment horizontal="left" vertical="center" indent="1"/>
    </xf>
    <xf numFmtId="4" fontId="61" fillId="12" borderId="17" applyNumberFormat="0" applyProtection="0">
      <alignment horizontal="right" vertical="center"/>
    </xf>
    <xf numFmtId="4" fontId="61" fillId="13" borderId="17" applyNumberFormat="0" applyProtection="0">
      <alignment horizontal="right" vertical="center"/>
    </xf>
    <xf numFmtId="4" fontId="61" fillId="14" borderId="17" applyNumberFormat="0" applyProtection="0">
      <alignment horizontal="right" vertical="center"/>
    </xf>
    <xf numFmtId="4" fontId="61" fillId="15" borderId="17" applyNumberFormat="0" applyProtection="0">
      <alignment horizontal="right" vertical="center"/>
    </xf>
    <xf numFmtId="4" fontId="61" fillId="16" borderId="17" applyNumberFormat="0" applyProtection="0">
      <alignment horizontal="right" vertical="center"/>
    </xf>
    <xf numFmtId="4" fontId="61" fillId="17" borderId="17" applyNumberFormat="0" applyProtection="0">
      <alignment horizontal="right" vertical="center"/>
    </xf>
    <xf numFmtId="4" fontId="61" fillId="18" borderId="17" applyNumberFormat="0" applyProtection="0">
      <alignment horizontal="right" vertical="center"/>
    </xf>
    <xf numFmtId="4" fontId="61" fillId="19" borderId="17" applyNumberFormat="0" applyProtection="0">
      <alignment horizontal="right" vertical="center"/>
    </xf>
    <xf numFmtId="4" fontId="61" fillId="20" borderId="17" applyNumberFormat="0" applyProtection="0">
      <alignment horizontal="right" vertical="center"/>
    </xf>
    <xf numFmtId="4" fontId="59" fillId="21" borderId="18" applyNumberFormat="0" applyProtection="0">
      <alignment horizontal="left" vertical="center" indent="1"/>
    </xf>
    <xf numFmtId="4" fontId="59" fillId="22" borderId="0" applyNumberFormat="0" applyProtection="0">
      <alignment horizontal="left" vertical="center" indent="1"/>
    </xf>
    <xf numFmtId="4" fontId="59" fillId="11" borderId="0" applyNumberFormat="0" applyProtection="0">
      <alignment horizontal="left" vertical="center" indent="1"/>
    </xf>
    <xf numFmtId="4" fontId="61" fillId="22" borderId="17" applyNumberFormat="0" applyProtection="0">
      <alignment horizontal="right" vertical="center"/>
    </xf>
    <xf numFmtId="4" fontId="62" fillId="22" borderId="0" applyNumberFormat="0" applyProtection="0">
      <alignment horizontal="left" vertical="center" indent="1"/>
    </xf>
    <xf numFmtId="4" fontId="62" fillId="11" borderId="0" applyNumberFormat="0" applyProtection="0">
      <alignment horizontal="left" vertical="center" indent="1"/>
    </xf>
    <xf numFmtId="4" fontId="61" fillId="23" borderId="17" applyNumberFormat="0" applyProtection="0">
      <alignment vertical="center"/>
    </xf>
    <xf numFmtId="4" fontId="63" fillId="23" borderId="17" applyNumberFormat="0" applyProtection="0">
      <alignment vertical="center"/>
    </xf>
    <xf numFmtId="4" fontId="59" fillId="22" borderId="19" applyNumberFormat="0" applyProtection="0">
      <alignment horizontal="left" vertical="center" indent="1"/>
    </xf>
    <xf numFmtId="4" fontId="61" fillId="23" borderId="17" applyNumberFormat="0" applyProtection="0">
      <alignment horizontal="right" vertical="center"/>
    </xf>
    <xf numFmtId="4" fontId="63" fillId="23" borderId="17" applyNumberFormat="0" applyProtection="0">
      <alignment horizontal="right" vertical="center"/>
    </xf>
    <xf numFmtId="4" fontId="59" fillId="22" borderId="17" applyNumberFormat="0" applyProtection="0">
      <alignment horizontal="left" vertical="center" indent="1"/>
    </xf>
    <xf numFmtId="4" fontId="64" fillId="9" borderId="19" applyNumberFormat="0" applyProtection="0">
      <alignment horizontal="left" vertical="center" indent="1"/>
    </xf>
    <xf numFmtId="4" fontId="65" fillId="23" borderId="17" applyNumberFormat="0" applyProtection="0">
      <alignment horizontal="right" vertical="center"/>
    </xf>
    <xf numFmtId="3" fontId="16" fillId="0" borderId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53" fillId="0" borderId="0"/>
    <xf numFmtId="193" fontId="57" fillId="0" borderId="20">
      <alignment horizontal="right" vertical="center"/>
    </xf>
    <xf numFmtId="193" fontId="57" fillId="0" borderId="20">
      <alignment horizontal="right" vertical="center"/>
    </xf>
    <xf numFmtId="194" fontId="66" fillId="7" borderId="21" applyFont="0" applyFill="0" applyBorder="0"/>
    <xf numFmtId="49" fontId="62" fillId="0" borderId="0" applyFill="0" applyBorder="0" applyAlignment="0"/>
    <xf numFmtId="0" fontId="2" fillId="0" borderId="0" applyFill="0" applyBorder="0" applyAlignment="0"/>
    <xf numFmtId="195" fontId="57" fillId="0" borderId="20">
      <alignment horizontal="center"/>
    </xf>
    <xf numFmtId="0" fontId="57" fillId="0" borderId="0" applyNumberFormat="0" applyFill="0" applyBorder="0" applyAlignment="0" applyProtection="0"/>
    <xf numFmtId="196" fontId="57" fillId="0" borderId="0"/>
    <xf numFmtId="197" fontId="57" fillId="0" borderId="1"/>
    <xf numFmtId="187" fontId="67" fillId="24" borderId="22">
      <alignment vertical="top"/>
    </xf>
    <xf numFmtId="0" fontId="68" fillId="25" borderId="1">
      <alignment horizontal="left" vertical="center"/>
    </xf>
    <xf numFmtId="175" fontId="69" fillId="26" borderId="22"/>
    <xf numFmtId="187" fontId="50" fillId="0" borderId="22">
      <alignment horizontal="left" vertical="top"/>
    </xf>
    <xf numFmtId="0" fontId="70" fillId="27" borderId="0">
      <alignment horizontal="left" vertical="center"/>
    </xf>
    <xf numFmtId="187" fontId="25" fillId="0" borderId="3">
      <alignment horizontal="left" vertical="top"/>
    </xf>
    <xf numFmtId="0" fontId="71" fillId="0" borderId="3">
      <alignment horizontal="left" vertical="center"/>
    </xf>
    <xf numFmtId="19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69" fontId="44" fillId="0" borderId="0" applyFont="0" applyFill="0" applyBorder="0" applyAlignment="0" applyProtection="0"/>
    <xf numFmtId="200" fontId="44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23" fillId="0" borderId="0">
      <alignment vertical="center"/>
    </xf>
    <xf numFmtId="40" fontId="74" fillId="0" borderId="0" applyFont="0" applyFill="0" applyBorder="0" applyAlignment="0" applyProtection="0"/>
    <xf numFmtId="38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6" fillId="0" borderId="0"/>
    <xf numFmtId="201" fontId="77" fillId="0" borderId="0" applyFont="0" applyFill="0" applyBorder="0" applyAlignment="0" applyProtection="0"/>
    <xf numFmtId="202" fontId="77" fillId="0" borderId="0" applyFont="0" applyFill="0" applyBorder="0" applyAlignment="0" applyProtection="0"/>
    <xf numFmtId="177" fontId="77" fillId="0" borderId="0" applyFont="0" applyFill="0" applyBorder="0" applyAlignment="0" applyProtection="0"/>
    <xf numFmtId="178" fontId="77" fillId="0" borderId="0" applyFont="0" applyFill="0" applyBorder="0" applyAlignment="0" applyProtection="0"/>
    <xf numFmtId="0" fontId="77" fillId="0" borderId="0"/>
    <xf numFmtId="0" fontId="6" fillId="0" borderId="0"/>
    <xf numFmtId="174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79" fillId="0" borderId="0" applyFont="0" applyFill="0" applyBorder="0" applyAlignment="0" applyProtection="0"/>
    <xf numFmtId="0" fontId="80" fillId="0" borderId="0"/>
    <xf numFmtId="169" fontId="78" fillId="0" borderId="0" applyFont="0" applyFill="0" applyBorder="0" applyAlignment="0" applyProtection="0"/>
    <xf numFmtId="175" fontId="22" fillId="0" borderId="0" applyFont="0" applyFill="0" applyBorder="0" applyAlignment="0" applyProtection="0"/>
    <xf numFmtId="200" fontId="78" fillId="0" borderId="0" applyFont="0" applyFill="0" applyBorder="0" applyAlignment="0" applyProtection="0"/>
    <xf numFmtId="200" fontId="2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horizontal="left"/>
    </xf>
    <xf numFmtId="14" fontId="4" fillId="0" borderId="0" xfId="1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6" fontId="7" fillId="0" borderId="0" xfId="0" applyNumberFormat="1" applyFont="1" applyAlignment="1">
      <alignment horizontal="left"/>
    </xf>
    <xf numFmtId="0" fontId="0" fillId="0" borderId="0" xfId="0" applyFont="1"/>
    <xf numFmtId="165" fontId="0" fillId="0" borderId="0" xfId="1" applyNumberFormat="1" applyFont="1"/>
    <xf numFmtId="167" fontId="0" fillId="0" borderId="0" xfId="1" applyNumberFormat="1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9" fontId="4" fillId="0" borderId="0" xfId="0" applyNumberFormat="1" applyFont="1"/>
    <xf numFmtId="166" fontId="8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/>
    <xf numFmtId="167" fontId="8" fillId="0" borderId="0" xfId="1" applyNumberFormat="1" applyFont="1"/>
    <xf numFmtId="0" fontId="4" fillId="0" borderId="0" xfId="0" applyFont="1"/>
    <xf numFmtId="165" fontId="9" fillId="0" borderId="0" xfId="1" applyNumberFormat="1" applyFont="1"/>
    <xf numFmtId="0" fontId="8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Border="1"/>
    <xf numFmtId="167" fontId="4" fillId="0" borderId="0" xfId="1" applyNumberFormat="1" applyFont="1"/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/>
    <xf numFmtId="17" fontId="0" fillId="0" borderId="1" xfId="0" applyNumberFormat="1" applyFont="1" applyFill="1" applyBorder="1" applyAlignment="1">
      <alignment horizontal="left"/>
    </xf>
    <xf numFmtId="0" fontId="0" fillId="0" borderId="1" xfId="0" quotePrefix="1" applyFont="1" applyFill="1" applyBorder="1" applyAlignment="1"/>
    <xf numFmtId="166" fontId="0" fillId="0" borderId="1" xfId="1" applyNumberFormat="1" applyFont="1" applyFill="1" applyBorder="1" applyAlignment="1">
      <alignment vertical="center"/>
    </xf>
    <xf numFmtId="166" fontId="0" fillId="0" borderId="5" xfId="1" applyNumberFormat="1" applyFont="1" applyFill="1" applyBorder="1" applyAlignment="1">
      <alignment vertical="center"/>
    </xf>
    <xf numFmtId="166" fontId="0" fillId="3" borderId="1" xfId="1" applyNumberFormat="1" applyFont="1" applyFill="1" applyBorder="1" applyAlignment="1">
      <alignment vertical="center"/>
    </xf>
    <xf numFmtId="167" fontId="0" fillId="0" borderId="1" xfId="1" applyNumberFormat="1" applyFont="1" applyFill="1" applyBorder="1" applyAlignment="1">
      <alignment vertical="center"/>
    </xf>
    <xf numFmtId="166" fontId="0" fillId="0" borderId="1" xfId="1" quotePrefix="1" applyNumberFormat="1" applyFont="1" applyFill="1" applyBorder="1" applyAlignment="1">
      <alignment vertical="center"/>
    </xf>
    <xf numFmtId="166" fontId="0" fillId="4" borderId="1" xfId="1" applyNumberFormat="1" applyFont="1" applyFill="1" applyBorder="1" applyAlignment="1">
      <alignment horizontal="center" vertical="center"/>
    </xf>
    <xf numFmtId="166" fontId="0" fillId="0" borderId="1" xfId="1" applyNumberFormat="1" applyFont="1" applyFill="1" applyBorder="1" applyAlignment="1">
      <alignment horizontal="center" vertical="center"/>
    </xf>
    <xf numFmtId="166" fontId="0" fillId="0" borderId="0" xfId="0" applyNumberFormat="1" applyFont="1"/>
    <xf numFmtId="165" fontId="2" fillId="0" borderId="0" xfId="1" applyNumberFormat="1" applyFont="1"/>
    <xf numFmtId="166" fontId="0" fillId="0" borderId="0" xfId="1" applyNumberFormat="1" applyFont="1"/>
    <xf numFmtId="166" fontId="0" fillId="0" borderId="0" xfId="1" applyNumberFormat="1" applyFont="1" applyFill="1" applyBorder="1" applyAlignment="1">
      <alignment vertical="center"/>
    </xf>
    <xf numFmtId="166" fontId="4" fillId="0" borderId="6" xfId="0" applyNumberFormat="1" applyFont="1" applyBorder="1"/>
    <xf numFmtId="38" fontId="4" fillId="0" borderId="6" xfId="0" applyNumberFormat="1" applyFont="1" applyBorder="1"/>
    <xf numFmtId="166" fontId="4" fillId="0" borderId="0" xfId="0" applyNumberFormat="1" applyFont="1"/>
    <xf numFmtId="168" fontId="10" fillId="0" borderId="1" xfId="1" applyNumberFormat="1" applyFont="1" applyBorder="1" applyProtection="1">
      <protection hidden="1"/>
    </xf>
    <xf numFmtId="167" fontId="0" fillId="4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/>
    <xf numFmtId="165" fontId="0" fillId="0" borderId="0" xfId="1" applyNumberFormat="1" applyFont="1" applyFill="1"/>
    <xf numFmtId="166" fontId="0" fillId="0" borderId="0" xfId="1" applyNumberFormat="1" applyFont="1" applyFill="1"/>
    <xf numFmtId="166" fontId="4" fillId="0" borderId="6" xfId="0" applyNumberFormat="1" applyFont="1" applyFill="1" applyBorder="1"/>
    <xf numFmtId="38" fontId="4" fillId="0" borderId="6" xfId="0" applyNumberFormat="1" applyFont="1" applyFill="1" applyBorder="1"/>
    <xf numFmtId="166" fontId="4" fillId="0" borderId="0" xfId="0" applyNumberFormat="1" applyFont="1" applyFill="1"/>
    <xf numFmtId="0" fontId="0" fillId="0" borderId="1" xfId="2" applyFont="1" applyFill="1" applyBorder="1" applyAlignment="1"/>
    <xf numFmtId="14" fontId="0" fillId="0" borderId="1" xfId="0" applyNumberFormat="1" applyFont="1" applyFill="1" applyBorder="1" applyAlignment="1">
      <alignment horizontal="left"/>
    </xf>
    <xf numFmtId="0" fontId="0" fillId="0" borderId="1" xfId="2" quotePrefix="1" applyFont="1" applyFill="1" applyBorder="1" applyAlignment="1"/>
    <xf numFmtId="0" fontId="0" fillId="0" borderId="1" xfId="2" applyFont="1" applyFill="1" applyBorder="1" applyAlignment="1">
      <alignment vertical="center"/>
    </xf>
    <xf numFmtId="0" fontId="4" fillId="0" borderId="0" xfId="0" applyFont="1" applyFill="1" applyBorder="1"/>
    <xf numFmtId="0" fontId="0" fillId="0" borderId="1" xfId="2" quotePrefix="1" applyFont="1" applyFill="1" applyBorder="1" applyAlignment="1">
      <alignment vertical="center"/>
    </xf>
    <xf numFmtId="166" fontId="0" fillId="4" borderId="1" xfId="1" quotePrefix="1" applyNumberFormat="1" applyFont="1" applyFill="1" applyBorder="1" applyAlignment="1">
      <alignment vertical="center"/>
    </xf>
    <xf numFmtId="167" fontId="0" fillId="4" borderId="1" xfId="1" applyNumberFormat="1" applyFont="1" applyFill="1" applyBorder="1" applyAlignment="1">
      <alignment vertical="center"/>
    </xf>
    <xf numFmtId="0" fontId="0" fillId="0" borderId="1" xfId="3" quotePrefix="1" applyFont="1" applyFill="1" applyBorder="1" applyAlignment="1"/>
    <xf numFmtId="0" fontId="0" fillId="0" borderId="1" xfId="3" applyFont="1" applyFill="1" applyBorder="1"/>
    <xf numFmtId="165" fontId="0" fillId="4" borderId="1" xfId="1" applyNumberFormat="1" applyFont="1" applyFill="1" applyBorder="1" applyAlignment="1">
      <alignment horizontal="center" vertical="center"/>
    </xf>
    <xf numFmtId="167" fontId="0" fillId="5" borderId="1" xfId="1" applyNumberFormat="1" applyFont="1" applyFill="1" applyBorder="1" applyAlignment="1">
      <alignment vertical="center"/>
    </xf>
    <xf numFmtId="167" fontId="0" fillId="6" borderId="1" xfId="1" applyNumberFormat="1" applyFont="1" applyFill="1" applyBorder="1" applyAlignment="1">
      <alignment vertical="center"/>
    </xf>
    <xf numFmtId="166" fontId="4" fillId="0" borderId="0" xfId="0" applyNumberFormat="1" applyFont="1" applyBorder="1"/>
    <xf numFmtId="38" fontId="4" fillId="0" borderId="0" xfId="0" applyNumberFormat="1" applyFont="1" applyBorder="1"/>
    <xf numFmtId="166" fontId="4" fillId="0" borderId="7" xfId="0" applyNumberFormat="1" applyFont="1" applyBorder="1"/>
    <xf numFmtId="38" fontId="4" fillId="0" borderId="7" xfId="0" applyNumberFormat="1" applyFont="1" applyBorder="1"/>
    <xf numFmtId="0" fontId="0" fillId="0" borderId="8" xfId="0" applyFont="1" applyFill="1" applyBorder="1" applyAlignment="1">
      <alignment vertical="center" wrapText="1"/>
    </xf>
    <xf numFmtId="0" fontId="0" fillId="0" borderId="8" xfId="0" applyFont="1" applyFill="1" applyBorder="1" applyAlignment="1"/>
    <xf numFmtId="14" fontId="0" fillId="0" borderId="8" xfId="0" applyNumberFormat="1" applyFont="1" applyFill="1" applyBorder="1" applyAlignment="1">
      <alignment horizontal="left"/>
    </xf>
    <xf numFmtId="0" fontId="0" fillId="0" borderId="8" xfId="0" quotePrefix="1" applyFont="1" applyFill="1" applyBorder="1" applyAlignment="1"/>
    <xf numFmtId="166" fontId="0" fillId="0" borderId="8" xfId="1" applyNumberFormat="1" applyFont="1" applyFill="1" applyBorder="1" applyAlignment="1">
      <alignment vertical="center"/>
    </xf>
    <xf numFmtId="167" fontId="0" fillId="6" borderId="8" xfId="1" applyNumberFormat="1" applyFont="1" applyFill="1" applyBorder="1" applyAlignment="1">
      <alignment vertical="center"/>
    </xf>
    <xf numFmtId="166" fontId="0" fillId="0" borderId="8" xfId="1" quotePrefix="1" applyNumberFormat="1" applyFont="1" applyFill="1" applyBorder="1" applyAlignment="1">
      <alignment vertical="center"/>
    </xf>
    <xf numFmtId="166" fontId="0" fillId="0" borderId="8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/>
    <xf numFmtId="38" fontId="4" fillId="0" borderId="0" xfId="0" applyNumberFormat="1" applyFont="1" applyFill="1" applyBorder="1"/>
    <xf numFmtId="167" fontId="4" fillId="0" borderId="0" xfId="1" applyNumberFormat="1" applyFont="1" applyFill="1"/>
    <xf numFmtId="166" fontId="0" fillId="0" borderId="0" xfId="1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0" fontId="0" fillId="28" borderId="23" xfId="0" applyFill="1" applyBorder="1" applyAlignment="1">
      <alignment horizontal="center" vertical="center" wrapText="1"/>
    </xf>
    <xf numFmtId="166" fontId="3" fillId="0" borderId="0" xfId="1" applyNumberFormat="1" applyFont="1" applyAlignment="1">
      <alignment horizontal="left"/>
    </xf>
    <xf numFmtId="166" fontId="8" fillId="2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/>
    <xf numFmtId="0" fontId="0" fillId="4" borderId="1" xfId="0" applyFont="1" applyFill="1" applyBorder="1"/>
    <xf numFmtId="166" fontId="0" fillId="4" borderId="1" xfId="1" applyNumberFormat="1" applyFont="1" applyFill="1" applyBorder="1" applyAlignment="1">
      <alignment vertical="center"/>
    </xf>
    <xf numFmtId="166" fontId="0" fillId="4" borderId="0" xfId="0" applyNumberFormat="1" applyFont="1" applyFill="1"/>
    <xf numFmtId="0" fontId="4" fillId="4" borderId="0" xfId="0" applyFont="1" applyFill="1"/>
    <xf numFmtId="165" fontId="2" fillId="4" borderId="0" xfId="1" applyNumberFormat="1" applyFont="1" applyFill="1"/>
    <xf numFmtId="166" fontId="0" fillId="4" borderId="0" xfId="1" applyNumberFormat="1" applyFont="1" applyFill="1"/>
    <xf numFmtId="166" fontId="0" fillId="4" borderId="0" xfId="1" applyNumberFormat="1" applyFont="1" applyFill="1" applyBorder="1" applyAlignment="1">
      <alignment vertical="center"/>
    </xf>
    <xf numFmtId="166" fontId="4" fillId="4" borderId="6" xfId="0" applyNumberFormat="1" applyFont="1" applyFill="1" applyBorder="1"/>
    <xf numFmtId="38" fontId="4" fillId="4" borderId="6" xfId="0" applyNumberFormat="1" applyFont="1" applyFill="1" applyBorder="1"/>
    <xf numFmtId="166" fontId="4" fillId="4" borderId="0" xfId="0" applyNumberFormat="1" applyFont="1" applyFill="1"/>
    <xf numFmtId="167" fontId="4" fillId="4" borderId="0" xfId="1" applyNumberFormat="1" applyFont="1" applyFill="1"/>
    <xf numFmtId="168" fontId="10" fillId="4" borderId="1" xfId="1" applyNumberFormat="1" applyFont="1" applyFill="1" applyBorder="1" applyProtection="1">
      <protection hidden="1"/>
    </xf>
    <xf numFmtId="166" fontId="0" fillId="29" borderId="1" xfId="1" applyNumberFormat="1" applyFont="1" applyFill="1" applyBorder="1" applyAlignment="1">
      <alignment vertical="center"/>
    </xf>
    <xf numFmtId="166" fontId="4" fillId="4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6" fontId="0" fillId="29" borderId="1" xfId="1" quotePrefix="1" applyNumberFormat="1" applyFont="1" applyFill="1" applyBorder="1" applyAlignment="1">
      <alignment vertical="center"/>
    </xf>
  </cellXfs>
  <cellStyles count="272">
    <cellStyle name="_x0001_" xfId="4"/>
    <cellStyle name="          _x000d__x000a_shell=progman.exe_x000d__x000a_m" xfId="5"/>
    <cellStyle name="??" xfId="6"/>
    <cellStyle name="?? [0.00]_ Att. 1- Cover" xfId="7"/>
    <cellStyle name="?? [0]" xfId="8"/>
    <cellStyle name="?_x001d_??%U©÷u&amp;H©÷9_x0008_? s_x000a__x0007__x0001__x0001_" xfId="9"/>
    <cellStyle name="???? [0.00]_List-dwg" xfId="10"/>
    <cellStyle name="????_List-dwg" xfId="11"/>
    <cellStyle name="???[0]_?? DI" xfId="12"/>
    <cellStyle name="???_?? DI" xfId="13"/>
    <cellStyle name="??[0]_BRE" xfId="14"/>
    <cellStyle name="??_ Att. 1- Cover" xfId="15"/>
    <cellStyle name="??A? [0]_laroux_1_¢¬???¢â? " xfId="16"/>
    <cellStyle name="??A?_laroux_1_¢¬???¢â? " xfId="17"/>
    <cellStyle name="?¡±¢¥?_?¨ù??¢´¢¥_¢¬???¢â? " xfId="18"/>
    <cellStyle name="?ðÇ%U?&amp;H?_x0008_?s_x000a__x0007__x0001__x0001_" xfId="19"/>
    <cellStyle name="_Bang Chi tieu (2)" xfId="20"/>
    <cellStyle name="_Book1" xfId="21"/>
    <cellStyle name="_in ho so 14-3-2008_TBT" xfId="22"/>
    <cellStyle name="_in_ANHA1_17-4-2008" xfId="23"/>
    <cellStyle name="_KT (2)" xfId="24"/>
    <cellStyle name="_KT (2)_1" xfId="25"/>
    <cellStyle name="_KT (2)_2" xfId="26"/>
    <cellStyle name="_KT (2)_2_TG-TH" xfId="27"/>
    <cellStyle name="_KT (2)_2_TG-TH_PT02-02" xfId="28"/>
    <cellStyle name="_KT (2)_2_TG-TH_PT02-03" xfId="29"/>
    <cellStyle name="_KT (2)_3" xfId="30"/>
    <cellStyle name="_KT (2)_3_TG-TH" xfId="31"/>
    <cellStyle name="_KT (2)_4" xfId="32"/>
    <cellStyle name="_KT (2)_4_PT02-02" xfId="33"/>
    <cellStyle name="_KT (2)_4_PT02-03" xfId="34"/>
    <cellStyle name="_KT (2)_4_TG-TH" xfId="35"/>
    <cellStyle name="_KT (2)_5" xfId="36"/>
    <cellStyle name="_KT (2)_5_PT02-02" xfId="37"/>
    <cellStyle name="_KT (2)_5_PT02-03" xfId="38"/>
    <cellStyle name="_KT (2)_TG-TH" xfId="39"/>
    <cellStyle name="_KT_TG" xfId="40"/>
    <cellStyle name="_KT_TG_1" xfId="41"/>
    <cellStyle name="_KT_TG_1_PT02-02" xfId="42"/>
    <cellStyle name="_KT_TG_1_PT02-03" xfId="43"/>
    <cellStyle name="_KT_TG_2" xfId="44"/>
    <cellStyle name="_KT_TG_2_PT02-02" xfId="45"/>
    <cellStyle name="_KT_TG_2_PT02-03" xfId="46"/>
    <cellStyle name="_KT_TG_3" xfId="47"/>
    <cellStyle name="_KT_TG_4" xfId="48"/>
    <cellStyle name="_NCCT_TBT_24-1" xfId="49"/>
    <cellStyle name="_TG-TH" xfId="50"/>
    <cellStyle name="_TG-TH_1" xfId="51"/>
    <cellStyle name="_TG-TH_1_PT02-02" xfId="52"/>
    <cellStyle name="_TG-TH_1_PT02-03" xfId="53"/>
    <cellStyle name="_TG-TH_2" xfId="54"/>
    <cellStyle name="_TG-TH_2_PT02-02" xfId="55"/>
    <cellStyle name="_TG-TH_2_PT02-03" xfId="56"/>
    <cellStyle name="_TG-TH_3" xfId="57"/>
    <cellStyle name="_TG-TH_4" xfId="58"/>
    <cellStyle name="_thy_20.12" xfId="59"/>
    <cellStyle name="~1" xfId="60"/>
    <cellStyle name="•W€_APR8_1" xfId="61"/>
    <cellStyle name="•W_’·Šú‰p•¶" xfId="62"/>
    <cellStyle name="1" xfId="63"/>
    <cellStyle name="1_Book1" xfId="64"/>
    <cellStyle name="1_in ho so 14-3-2008_TBT" xfId="65"/>
    <cellStyle name="1_in_ANHA1_17-4-2008" xfId="66"/>
    <cellStyle name="1_NCCT_TBT_24-1" xfId="67"/>
    <cellStyle name="1_Sheet2" xfId="68"/>
    <cellStyle name="1_thy_20.12" xfId="69"/>
    <cellStyle name="¹éºÐÀ²_±âÅ¸" xfId="70"/>
    <cellStyle name="2" xfId="71"/>
    <cellStyle name="3" xfId="72"/>
    <cellStyle name="4" xfId="73"/>
    <cellStyle name="6" xfId="74"/>
    <cellStyle name="A" xfId="75"/>
    <cellStyle name="ÅëÈ­ [0]_¿ì¹°Åë" xfId="76"/>
    <cellStyle name="AeE­ [0]_INQUIRY ¿?¾÷AßAø " xfId="77"/>
    <cellStyle name="ÅëÈ­_¿ì¹°Åë" xfId="78"/>
    <cellStyle name="AeE­_INQUIRY ¿?¾÷AßAø " xfId="79"/>
    <cellStyle name="Aptima" xfId="80"/>
    <cellStyle name="ÄÞ¸¶ [0]_¿ì¹°Åë" xfId="81"/>
    <cellStyle name="AÞ¸¶ [0]_INQUIRY ¿?¾÷AßAø " xfId="82"/>
    <cellStyle name="ÄÞ¸¶_¿ì¹°Åë" xfId="83"/>
    <cellStyle name="AÞ¸¶_INQUIRY ¿?¾÷AßAø " xfId="84"/>
    <cellStyle name="AutoFormat Options" xfId="85"/>
    <cellStyle name="B_U" xfId="86"/>
    <cellStyle name="B_U_A" xfId="87"/>
    <cellStyle name="B_U_Mauqtvtd-99" xfId="88"/>
    <cellStyle name="B_U_Qtnbdtmau" xfId="89"/>
    <cellStyle name="C?AØ_¿?¾÷CoE² " xfId="90"/>
    <cellStyle name="Ç¥ÁØ_#2(M17)_1" xfId="91"/>
    <cellStyle name="C￥AØ_¿μ¾÷CoE² " xfId="92"/>
    <cellStyle name="Ç¥ÁØ_±³°¢¼ö·®" xfId="93"/>
    <cellStyle name="C￥AØ_Sheet1_¿μ¾÷CoE² " xfId="94"/>
    <cellStyle name="Calc Currency (0)" xfId="95"/>
    <cellStyle name="Calc Percent (0)" xfId="96"/>
    <cellStyle name="Calc Percent (1)" xfId="97"/>
    <cellStyle name="category" xfId="98"/>
    <cellStyle name="Comma" xfId="1" builtinId="3"/>
    <cellStyle name="Comma 2" xfId="100"/>
    <cellStyle name="Comma 3" xfId="101"/>
    <cellStyle name="Comma 4" xfId="102"/>
    <cellStyle name="comma zerodec" xfId="103"/>
    <cellStyle name="Comma0" xfId="104"/>
    <cellStyle name="Currency0" xfId="105"/>
    <cellStyle name="Currency1" xfId="106"/>
    <cellStyle name="Chi phÝ kh¸c_Book1" xfId="99"/>
    <cellStyle name="D_G_A" xfId="107"/>
    <cellStyle name="Date" xfId="108"/>
    <cellStyle name="Dezimal [0]_UXO VII" xfId="109"/>
    <cellStyle name="Dezimal_UXO VII" xfId="110"/>
    <cellStyle name="Dollar (zero dec)" xfId="111"/>
    <cellStyle name="Dziesi?tny [0]_Invoices2001Slovakia" xfId="112"/>
    <cellStyle name="Dziesi?tny_Invoices2001Slovakia" xfId="113"/>
    <cellStyle name="Dziesietny [0]_Invoices2001Slovakia" xfId="114"/>
    <cellStyle name="Dziesiętny [0]_Invoices2001Slovakia" xfId="115"/>
    <cellStyle name="Dziesietny [0]_Invoices2001Slovakia_Book1" xfId="116"/>
    <cellStyle name="Dziesiętny [0]_Invoices2001Slovakia_Book1" xfId="117"/>
    <cellStyle name="Dziesietny [0]_Invoices2001Slovakia_Book1_Tong hop Cac tuyen(9-1-06)" xfId="118"/>
    <cellStyle name="Dziesiętny [0]_Invoices2001Slovakia_Book1_Tong hop Cac tuyen(9-1-06)" xfId="119"/>
    <cellStyle name="Dziesietny [0]_Invoices2001Slovakia_KL K.C mat duong" xfId="120"/>
    <cellStyle name="Dziesiętny [0]_Invoices2001Slovakia_Nhalamviec VTC(25-1-05)" xfId="121"/>
    <cellStyle name="Dziesietny [0]_Invoices2001Slovakia_TDT KHANH HOA" xfId="122"/>
    <cellStyle name="Dziesiętny [0]_Invoices2001Slovakia_TDT KHANH HOA" xfId="123"/>
    <cellStyle name="Dziesietny [0]_Invoices2001Slovakia_TDT KHANH HOA_Tong hop Cac tuyen(9-1-06)" xfId="124"/>
    <cellStyle name="Dziesiętny [0]_Invoices2001Slovakia_TDT KHANH HOA_Tong hop Cac tuyen(9-1-06)" xfId="125"/>
    <cellStyle name="Dziesietny [0]_Invoices2001Slovakia_TDT quangngai" xfId="126"/>
    <cellStyle name="Dziesiętny [0]_Invoices2001Slovakia_TDT quangngai" xfId="127"/>
    <cellStyle name="Dziesietny [0]_Invoices2001Slovakia_Tong hop Cac tuyen(9-1-06)" xfId="128"/>
    <cellStyle name="Dziesietny_Invoices2001Slovakia" xfId="129"/>
    <cellStyle name="Dziesiętny_Invoices2001Slovakia" xfId="130"/>
    <cellStyle name="Dziesietny_Invoices2001Slovakia_Book1" xfId="131"/>
    <cellStyle name="Dziesiętny_Invoices2001Slovakia_Book1" xfId="132"/>
    <cellStyle name="Dziesietny_Invoices2001Slovakia_Book1_Tong hop Cac tuyen(9-1-06)" xfId="133"/>
    <cellStyle name="Dziesiętny_Invoices2001Slovakia_Book1_Tong hop Cac tuyen(9-1-06)" xfId="134"/>
    <cellStyle name="Dziesietny_Invoices2001Slovakia_KL K.C mat duong" xfId="135"/>
    <cellStyle name="Dziesiętny_Invoices2001Slovakia_Nhalamviec VTC(25-1-05)" xfId="136"/>
    <cellStyle name="Dziesietny_Invoices2001Slovakia_TDT KHANH HOA" xfId="137"/>
    <cellStyle name="Dziesiętny_Invoices2001Slovakia_TDT KHANH HOA" xfId="138"/>
    <cellStyle name="Dziesietny_Invoices2001Slovakia_TDT KHANH HOA_Tong hop Cac tuyen(9-1-06)" xfId="139"/>
    <cellStyle name="Dziesiętny_Invoices2001Slovakia_TDT KHANH HOA_Tong hop Cac tuyen(9-1-06)" xfId="140"/>
    <cellStyle name="Dziesietny_Invoices2001Slovakia_TDT quangngai" xfId="141"/>
    <cellStyle name="Dziesiętny_Invoices2001Slovakia_TDT quangngai" xfId="142"/>
    <cellStyle name="Dziesietny_Invoices2001Slovakia_Tong hop Cac tuyen(9-1-06)" xfId="143"/>
    <cellStyle name="Enter Currency (0)" xfId="144"/>
    <cellStyle name="Fixed" xfId="145"/>
    <cellStyle name="font aptima9" xfId="146"/>
    <cellStyle name="Grey" xfId="147"/>
    <cellStyle name="ha" xfId="148"/>
    <cellStyle name="HEADER" xfId="149"/>
    <cellStyle name="Header1" xfId="150"/>
    <cellStyle name="Header2" xfId="151"/>
    <cellStyle name="HEADING1" xfId="152"/>
    <cellStyle name="HEADING2" xfId="153"/>
    <cellStyle name="headoption" xfId="154"/>
    <cellStyle name="Hoa-Scholl" xfId="155"/>
    <cellStyle name="i·0" xfId="156"/>
    <cellStyle name="Input [yellow]" xfId="157"/>
    <cellStyle name="khanh" xfId="158"/>
    <cellStyle name="Link Currency (0)" xfId="159"/>
    <cellStyle name="Millares [0]_Well Timing" xfId="160"/>
    <cellStyle name="Millares_Well Timing" xfId="161"/>
    <cellStyle name="Milliers [0]_AR1194" xfId="162"/>
    <cellStyle name="Milliers_AR1194" xfId="163"/>
    <cellStyle name="Model" xfId="164"/>
    <cellStyle name="moi" xfId="165"/>
    <cellStyle name="Moneda [0]_Well Timing" xfId="166"/>
    <cellStyle name="Moneda_Well Timing" xfId="167"/>
    <cellStyle name="Monétaire [0]_AR1194" xfId="168"/>
    <cellStyle name="Monétaire_AR1194" xfId="169"/>
    <cellStyle name="n" xfId="170"/>
    <cellStyle name="New Times Roman" xfId="171"/>
    <cellStyle name="no dec" xfId="173"/>
    <cellStyle name="Normal" xfId="0" builtinId="0"/>
    <cellStyle name="Normal - Style1" xfId="174"/>
    <cellStyle name="Normal 2" xfId="3"/>
    <cellStyle name="Normal 3" xfId="175"/>
    <cellStyle name="Normal 4" xfId="176"/>
    <cellStyle name="Normal_Sheet1" xfId="2"/>
    <cellStyle name="Normal1" xfId="177"/>
    <cellStyle name="Normal2" xfId="178"/>
    <cellStyle name="Normalny_Cennik obowiazuje od 06-08-2001 r (1)" xfId="179"/>
    <cellStyle name="nga" xfId="172"/>
    <cellStyle name="oft Excel]_x000d__x000a_Comment=The open=/f lines load custom functions into the Paste Function list._x000d__x000a_Maximized=2_x000d__x000a_Basics=1_x000d__x000a_A" xfId="180"/>
    <cellStyle name="oft Excel]_x000d__x000a_Comment=The open=/f lines load custom functions into the Paste Function list._x000d__x000a_Maximized=3_x000d__x000a_Basics=1_x000d__x000a_A" xfId="181"/>
    <cellStyle name="Percent [2]" xfId="182"/>
    <cellStyle name="PERCENTAGE" xfId="183"/>
    <cellStyle name="PrePop Currency (0)" xfId="185"/>
    <cellStyle name="phi" xfId="184"/>
    <cellStyle name="S—_x0008_" xfId="186"/>
    <cellStyle name="s]_x000d__x000a_spooler=yes_x000d__x000a_load=_x000d__x000a_Beep=yes_x000d__x000a_NullPort=None_x000d__x000a_BorderWidth=3_x000d__x000a_CursorBlinkRate=1200_x000d__x000a_DoubleClickSpeed=452_x000d__x000a_Programs=co" xfId="187"/>
    <cellStyle name="SAPBEXaggData" xfId="188"/>
    <cellStyle name="SAPBEXaggDataEmph" xfId="189"/>
    <cellStyle name="SAPBEXaggItem" xfId="190"/>
    <cellStyle name="SAPBEXchaText" xfId="191"/>
    <cellStyle name="SAPBEXexcBad7" xfId="192"/>
    <cellStyle name="SAPBEXexcBad8" xfId="193"/>
    <cellStyle name="SAPBEXexcBad9" xfId="194"/>
    <cellStyle name="SAPBEXexcCritical4" xfId="195"/>
    <cellStyle name="SAPBEXexcCritical5" xfId="196"/>
    <cellStyle name="SAPBEXexcCritical6" xfId="197"/>
    <cellStyle name="SAPBEXexcGood1" xfId="198"/>
    <cellStyle name="SAPBEXexcGood2" xfId="199"/>
    <cellStyle name="SAPBEXexcGood3" xfId="200"/>
    <cellStyle name="SAPBEXfilterDrill" xfId="201"/>
    <cellStyle name="SAPBEXfilterItem" xfId="202"/>
    <cellStyle name="SAPBEXfilterText" xfId="203"/>
    <cellStyle name="SAPBEXformats" xfId="204"/>
    <cellStyle name="SAPBEXheaderItem" xfId="205"/>
    <cellStyle name="SAPBEXheaderText" xfId="206"/>
    <cellStyle name="SAPBEXresData" xfId="207"/>
    <cellStyle name="SAPBEXresDataEmph" xfId="208"/>
    <cellStyle name="SAPBEXresItem" xfId="209"/>
    <cellStyle name="SAPBEXstdData" xfId="210"/>
    <cellStyle name="SAPBEXstdDataEmph" xfId="211"/>
    <cellStyle name="SAPBEXstdItem" xfId="212"/>
    <cellStyle name="SAPBEXtitle" xfId="213"/>
    <cellStyle name="SAPBEXundefined" xfId="214"/>
    <cellStyle name="songuyen" xfId="215"/>
    <cellStyle name="Style 1" xfId="216"/>
    <cellStyle name="Style 2" xfId="217"/>
    <cellStyle name="Style 3" xfId="218"/>
    <cellStyle name="Style 4" xfId="219"/>
    <cellStyle name="Style 5" xfId="220"/>
    <cellStyle name="Style 6" xfId="221"/>
    <cellStyle name="Style 7" xfId="222"/>
    <cellStyle name="Style 8" xfId="223"/>
    <cellStyle name="Style 9" xfId="224"/>
    <cellStyle name="subhead" xfId="225"/>
    <cellStyle name="T" xfId="226"/>
    <cellStyle name="T_Me_Tri_6_07" xfId="227"/>
    <cellStyle name="T_Seagame(BTL)" xfId="228"/>
    <cellStyle name="Text Indent A" xfId="229"/>
    <cellStyle name="Text Indent B" xfId="230"/>
    <cellStyle name="th" xfId="231"/>
    <cellStyle name="þ_x001d_ð·_x000c_æþ'_x000d_ßþU_x0001_Ø_x0005_ü_x0014__x0007__x0001__x0001_" xfId="232"/>
    <cellStyle name="viet" xfId="233"/>
    <cellStyle name="viet2" xfId="234"/>
    <cellStyle name="vnbo" xfId="235"/>
    <cellStyle name="vntxt1" xfId="240"/>
    <cellStyle name="vntxt2" xfId="241"/>
    <cellStyle name="vnhead1" xfId="236"/>
    <cellStyle name="vnhead2" xfId="237"/>
    <cellStyle name="vnhead3" xfId="238"/>
    <cellStyle name="vnhead4" xfId="239"/>
    <cellStyle name="Währung [0]_UXO VII" xfId="242"/>
    <cellStyle name="Währung_UXO VII" xfId="243"/>
    <cellStyle name="Walutowy [0]_Invoices2001Slovakia" xfId="244"/>
    <cellStyle name="Walutowy_Invoices2001Slovakia" xfId="245"/>
    <cellStyle name="xuan" xfId="246"/>
    <cellStyle name=" [0.00]_ Att. 1- Cover" xfId="247"/>
    <cellStyle name="_ Att. 1- Cover" xfId="248"/>
    <cellStyle name="?_ Att. 1- Cover" xfId="249"/>
    <cellStyle name="똿뗦먛귟 [0.00]_PRODUCT DETAIL Q1" xfId="250"/>
    <cellStyle name="똿뗦먛귟_PRODUCT DETAIL Q1" xfId="251"/>
    <cellStyle name="믅됞 [0.00]_PRODUCT DETAIL Q1" xfId="252"/>
    <cellStyle name="믅됞_PRODUCT DETAIL Q1" xfId="253"/>
    <cellStyle name="백분율_95" xfId="254"/>
    <cellStyle name="뷭?_BOOKSHIP" xfId="255"/>
    <cellStyle name="콤마 [0]_10.예비품" xfId="256"/>
    <cellStyle name="콤마_10.예비품" xfId="257"/>
    <cellStyle name="통화 [0]_1" xfId="258"/>
    <cellStyle name="통화_1" xfId="259"/>
    <cellStyle name="표준_ 97년 경영분석(안)" xfId="260"/>
    <cellStyle name="一般_00Q3902REV.1" xfId="261"/>
    <cellStyle name="千分位[0]_00Q3902REV.1" xfId="262"/>
    <cellStyle name="千分位_00Q3902REV.1" xfId="263"/>
    <cellStyle name="桁区切り [0.00]_BQ" xfId="264"/>
    <cellStyle name="桁区切り_electrical road" xfId="265"/>
    <cellStyle name="標準_4-10出荷" xfId="266"/>
    <cellStyle name="貨幣 [0]_00Q3902REV.1" xfId="267"/>
    <cellStyle name="貨幣[0]_BRE" xfId="268"/>
    <cellStyle name="貨幣_00Q3902REV.1" xfId="269"/>
    <cellStyle name="通貨 [0.00]_I.5.1" xfId="270"/>
    <cellStyle name="通貨_I.5.1" xfId="2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rvo%20Payroll%20Mar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ance-old"/>
      <sheetName val="Insurance-New"/>
      <sheetName val="Sheet1"/>
      <sheetName val="Tong hop"/>
      <sheetName val="Bonus-Submit"/>
      <sheetName val="Sheet2"/>
      <sheetName val="all"/>
      <sheetName val="Salaries-Version 1"/>
      <sheetName val="Salaries+Bonus-Version 1 (2)"/>
      <sheetName val="Salaries+Bonus"/>
      <sheetName val="Salaries Feb"/>
      <sheetName val="Kelly (2)"/>
      <sheetName val="Rolland (2)"/>
      <sheetName val="Lien"/>
      <sheetName val="Huy "/>
      <sheetName val="N.Hai"/>
      <sheetName val="D.Hai "/>
      <sheetName val="Tuan"/>
      <sheetName val="Cuong"/>
      <sheetName val="Tanh"/>
      <sheetName val="Giang"/>
      <sheetName val="Trang"/>
      <sheetName val="Oanh (2)"/>
      <sheetName val="X.Mai (2)"/>
      <sheetName val="Phuong (2)"/>
      <sheetName val="Thuy"/>
      <sheetName val="Ni (2)"/>
      <sheetName val="Chau"/>
      <sheetName val="Dung"/>
      <sheetName val="Tham"/>
      <sheetName val="Thuan"/>
      <sheetName val="Q.Cuong"/>
      <sheetName val="KHANG "/>
      <sheetName val="Thu 15,250 MIL GROSS "/>
      <sheetName val="PH.KHANH"/>
      <sheetName val="HUONG"/>
      <sheetName val="trung"/>
      <sheetName val="Hao (2)"/>
      <sheetName val="k.oanh"/>
      <sheetName val="DUC"/>
      <sheetName val="D.Minh"/>
      <sheetName val="My Thuong GROSS Pro"/>
      <sheetName val="HA 14 GROSS PRO"/>
      <sheetName val="NGOC ANH 1500 GROSS PRO"/>
      <sheetName val="Tuyen"/>
      <sheetName val="PIT12.14"/>
      <sheetName val="HI for Kelly"/>
      <sheetName val="SI+HI"/>
      <sheetName val="Thue TNCN Kel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S3">
            <v>16543875</v>
          </cell>
          <cell r="AB3">
            <v>28111125</v>
          </cell>
        </row>
        <row r="4">
          <cell r="S4">
            <v>22108588</v>
          </cell>
          <cell r="AB4">
            <v>39210412</v>
          </cell>
        </row>
        <row r="5">
          <cell r="S5">
            <v>1844640</v>
          </cell>
          <cell r="AB5">
            <v>24061360</v>
          </cell>
        </row>
        <row r="7">
          <cell r="S7">
            <v>3837960</v>
          </cell>
          <cell r="AB7">
            <v>22068040</v>
          </cell>
        </row>
        <row r="9">
          <cell r="S9">
            <v>202388</v>
          </cell>
          <cell r="AB9">
            <v>9596112</v>
          </cell>
        </row>
        <row r="10">
          <cell r="S10">
            <v>73688</v>
          </cell>
          <cell r="AB10">
            <v>7608812</v>
          </cell>
        </row>
        <row r="11">
          <cell r="S11">
            <v>0</v>
          </cell>
          <cell r="AB11">
            <v>5735000</v>
          </cell>
        </row>
        <row r="12">
          <cell r="S12">
            <v>0</v>
          </cell>
          <cell r="AB12">
            <v>4000000</v>
          </cell>
        </row>
        <row r="13">
          <cell r="S13">
            <v>9018375</v>
          </cell>
          <cell r="AB13">
            <v>27141625</v>
          </cell>
        </row>
        <row r="14">
          <cell r="S14">
            <v>8445000</v>
          </cell>
          <cell r="AB14">
            <v>12155000</v>
          </cell>
        </row>
        <row r="16">
          <cell r="S16">
            <v>663700</v>
          </cell>
          <cell r="AB16">
            <v>11029800</v>
          </cell>
        </row>
        <row r="20">
          <cell r="S20">
            <v>246713</v>
          </cell>
          <cell r="AB20">
            <v>9742787</v>
          </cell>
        </row>
        <row r="21">
          <cell r="S21">
            <v>2131500</v>
          </cell>
          <cell r="AB21">
            <v>12568500</v>
          </cell>
        </row>
        <row r="22">
          <cell r="S22">
            <v>184622</v>
          </cell>
          <cell r="AB22">
            <v>6289440.5</v>
          </cell>
        </row>
        <row r="24">
          <cell r="S24">
            <v>0</v>
          </cell>
          <cell r="AB24">
            <v>3000000</v>
          </cell>
        </row>
        <row r="25">
          <cell r="S25">
            <v>1350000</v>
          </cell>
          <cell r="AB25">
            <v>11650000</v>
          </cell>
        </row>
        <row r="26">
          <cell r="S26">
            <v>0</v>
          </cell>
          <cell r="AB26">
            <v>5000000</v>
          </cell>
        </row>
        <row r="27">
          <cell r="S27">
            <v>0</v>
          </cell>
          <cell r="AB27">
            <v>1252222.2222222222</v>
          </cell>
        </row>
      </sheetData>
      <sheetData sheetId="10">
        <row r="5">
          <cell r="Z5">
            <v>38991250</v>
          </cell>
        </row>
        <row r="6">
          <cell r="Z6">
            <v>51473300</v>
          </cell>
        </row>
        <row r="7">
          <cell r="Z7">
            <v>25683200</v>
          </cell>
        </row>
        <row r="9">
          <cell r="Z9">
            <v>24367600</v>
          </cell>
        </row>
        <row r="11">
          <cell r="Z11">
            <v>9798500</v>
          </cell>
        </row>
        <row r="12">
          <cell r="Z12">
            <v>7682500</v>
          </cell>
        </row>
        <row r="13">
          <cell r="Z13">
            <v>5735000</v>
          </cell>
        </row>
        <row r="14">
          <cell r="Z14">
            <v>4000000</v>
          </cell>
        </row>
        <row r="15">
          <cell r="Z15">
            <v>34763500</v>
          </cell>
        </row>
        <row r="16">
          <cell r="Z16">
            <v>20215000</v>
          </cell>
        </row>
        <row r="18">
          <cell r="Z18">
            <v>11693500</v>
          </cell>
        </row>
        <row r="22">
          <cell r="Z22">
            <v>9989500</v>
          </cell>
        </row>
        <row r="23">
          <cell r="Z23">
            <v>13230000</v>
          </cell>
        </row>
        <row r="24">
          <cell r="Z24">
            <v>6474062.5</v>
          </cell>
        </row>
        <row r="26">
          <cell r="Z26">
            <v>3000000</v>
          </cell>
        </row>
        <row r="27">
          <cell r="Z27">
            <v>11700000</v>
          </cell>
        </row>
        <row r="28">
          <cell r="Z28">
            <v>5000000</v>
          </cell>
        </row>
        <row r="29">
          <cell r="Z29">
            <v>1252222.2222222222</v>
          </cell>
        </row>
      </sheetData>
      <sheetData sheetId="11">
        <row r="29">
          <cell r="E29">
            <v>74327500</v>
          </cell>
        </row>
      </sheetData>
      <sheetData sheetId="12">
        <row r="29">
          <cell r="E29">
            <v>76761750</v>
          </cell>
        </row>
      </sheetData>
      <sheetData sheetId="13">
        <row r="29">
          <cell r="E29">
            <v>37121225</v>
          </cell>
        </row>
      </sheetData>
      <sheetData sheetId="14">
        <row r="29">
          <cell r="E29">
            <v>26463250</v>
          </cell>
        </row>
      </sheetData>
      <sheetData sheetId="15">
        <row r="29">
          <cell r="E29">
            <v>25618625</v>
          </cell>
        </row>
      </sheetData>
      <sheetData sheetId="16">
        <row r="29">
          <cell r="E29">
            <v>14627500</v>
          </cell>
        </row>
      </sheetData>
      <sheetData sheetId="17">
        <row r="29">
          <cell r="E29">
            <v>39308000</v>
          </cell>
        </row>
      </sheetData>
      <sheetData sheetId="18">
        <row r="29">
          <cell r="E29">
            <v>14668820.499999998</v>
          </cell>
        </row>
      </sheetData>
      <sheetData sheetId="19">
        <row r="18">
          <cell r="E18">
            <v>14782499.999999998</v>
          </cell>
        </row>
        <row r="29">
          <cell r="E29">
            <v>14848819.999999998</v>
          </cell>
        </row>
      </sheetData>
      <sheetData sheetId="20">
        <row r="29">
          <cell r="E29">
            <v>14029007</v>
          </cell>
        </row>
      </sheetData>
      <sheetData sheetId="21">
        <row r="29">
          <cell r="E29">
            <v>10320200.625</v>
          </cell>
        </row>
      </sheetData>
      <sheetData sheetId="22">
        <row r="29">
          <cell r="E29">
            <v>14886625</v>
          </cell>
        </row>
      </sheetData>
      <sheetData sheetId="23">
        <row r="29">
          <cell r="E29">
            <v>9131850</v>
          </cell>
        </row>
      </sheetData>
      <sheetData sheetId="24">
        <row r="29">
          <cell r="E29">
            <v>7628250</v>
          </cell>
        </row>
      </sheetData>
      <sheetData sheetId="25">
        <row r="29">
          <cell r="E29">
            <v>25874881</v>
          </cell>
        </row>
      </sheetData>
      <sheetData sheetId="26">
        <row r="29">
          <cell r="E29">
            <v>5256500</v>
          </cell>
        </row>
      </sheetData>
      <sheetData sheetId="27">
        <row r="29">
          <cell r="E29">
            <v>6123808.8399999999</v>
          </cell>
        </row>
      </sheetData>
      <sheetData sheetId="28">
        <row r="29">
          <cell r="E29">
            <v>6270812.2249999996</v>
          </cell>
        </row>
      </sheetData>
      <sheetData sheetId="29">
        <row r="29">
          <cell r="E29">
            <v>4210565.0750000002</v>
          </cell>
        </row>
      </sheetData>
      <sheetData sheetId="30">
        <row r="29">
          <cell r="E29">
            <v>15119115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W61"/>
  <sheetViews>
    <sheetView tabSelected="1" topLeftCell="M2" zoomScale="115" zoomScaleNormal="115" workbookViewId="0">
      <selection activeCell="T10" sqref="T10"/>
    </sheetView>
  </sheetViews>
  <sheetFormatPr defaultColWidth="9.140625" defaultRowHeight="12.75" outlineLevelRow="1" outlineLevelCol="1"/>
  <cols>
    <col min="1" max="1" width="6.42578125" style="6" customWidth="1"/>
    <col min="2" max="2" width="16" style="6" customWidth="1"/>
    <col min="3" max="3" width="13.42578125" style="6" customWidth="1"/>
    <col min="4" max="4" width="14.28515625" style="6" hidden="1" customWidth="1"/>
    <col min="5" max="5" width="16.140625" style="6" customWidth="1" outlineLevel="1"/>
    <col min="6" max="8" width="13.5703125" style="6" customWidth="1" outlineLevel="1"/>
    <col min="9" max="10" width="17" style="41" customWidth="1" outlineLevel="1"/>
    <col min="11" max="11" width="16.5703125" style="41" customWidth="1" outlineLevel="1"/>
    <col min="12" max="12" width="14.7109375" style="6" customWidth="1" outlineLevel="1"/>
    <col min="13" max="13" width="14.28515625" style="6" customWidth="1" outlineLevel="1"/>
    <col min="14" max="15" width="14.140625" style="6" customWidth="1" outlineLevel="1"/>
    <col min="16" max="16" width="17.42578125" style="6" customWidth="1" outlineLevel="1"/>
    <col min="17" max="17" width="15.7109375" style="6" customWidth="1" outlineLevel="1"/>
    <col min="18" max="18" width="16.42578125" style="6" customWidth="1" outlineLevel="1"/>
    <col min="19" max="19" width="6" style="6" hidden="1" customWidth="1" outlineLevel="1"/>
    <col min="20" max="20" width="14.7109375" style="6" customWidth="1" outlineLevel="1"/>
    <col min="21" max="21" width="14.42578125" style="6" customWidth="1" outlineLevel="1"/>
    <col min="22" max="22" width="15.28515625" style="6" customWidth="1" outlineLevel="1"/>
    <col min="23" max="23" width="12.7109375" style="6" customWidth="1" outlineLevel="1"/>
    <col min="24" max="24" width="20.5703125" style="6" customWidth="1" outlineLevel="1"/>
    <col min="25" max="25" width="17.7109375" style="6" hidden="1" customWidth="1" outlineLevel="1"/>
    <col min="26" max="26" width="14.28515625" style="6" hidden="1" customWidth="1" outlineLevel="1"/>
    <col min="27" max="27" width="16.28515625" style="6" hidden="1" customWidth="1"/>
    <col min="28" max="28" width="9.140625" style="6" hidden="1" customWidth="1"/>
    <col min="29" max="29" width="22.42578125" style="7" hidden="1" customWidth="1"/>
    <col min="30" max="30" width="10.42578125" style="6" hidden="1" customWidth="1"/>
    <col min="31" max="32" width="14.140625" style="6" hidden="1" customWidth="1"/>
    <col min="33" max="33" width="16.28515625" style="6" hidden="1" customWidth="1"/>
    <col min="34" max="34" width="24.5703125" style="6" hidden="1" customWidth="1"/>
    <col min="35" max="35" width="22" style="6" hidden="1" customWidth="1"/>
    <col min="36" max="36" width="16.85546875" style="6" hidden="1" customWidth="1"/>
    <col min="37" max="37" width="15.140625" style="6" hidden="1" customWidth="1"/>
    <col min="38" max="38" width="15.42578125" style="6" hidden="1" customWidth="1"/>
    <col min="39" max="39" width="11.42578125" style="8" hidden="1" customWidth="1"/>
    <col min="40" max="40" width="15.85546875" style="6" hidden="1" customWidth="1"/>
    <col min="41" max="47" width="9.140625" style="6" hidden="1" customWidth="1"/>
    <col min="48" max="48" width="13.7109375" style="6" hidden="1" customWidth="1"/>
    <col min="49" max="58" width="0" style="6" hidden="1" customWidth="1"/>
    <col min="59" max="16384" width="9.140625" style="6"/>
  </cols>
  <sheetData>
    <row r="1" spans="1:49" ht="26.25">
      <c r="A1" s="1" t="s">
        <v>142</v>
      </c>
      <c r="B1" s="1"/>
      <c r="C1" s="1"/>
      <c r="D1" s="1"/>
      <c r="E1" s="1"/>
      <c r="F1" s="1"/>
      <c r="G1" s="2"/>
      <c r="H1" s="3"/>
      <c r="I1" s="87"/>
      <c r="J1" s="87"/>
      <c r="K1" s="87"/>
      <c r="L1" s="1"/>
      <c r="M1" s="1"/>
      <c r="N1" s="1"/>
      <c r="O1" s="1"/>
      <c r="P1" s="1"/>
      <c r="Q1" s="5"/>
      <c r="R1" s="1"/>
      <c r="S1" s="1"/>
      <c r="T1" s="1"/>
      <c r="U1" s="1"/>
      <c r="V1" s="1"/>
      <c r="W1" s="1"/>
      <c r="X1" s="1"/>
      <c r="Y1" s="1"/>
      <c r="Z1" s="1"/>
    </row>
    <row r="3" spans="1:49" s="17" customFormat="1" ht="76.5">
      <c r="A3" s="9" t="s">
        <v>154</v>
      </c>
      <c r="B3" s="9" t="s">
        <v>155</v>
      </c>
      <c r="C3" s="9" t="s">
        <v>156</v>
      </c>
      <c r="D3" s="9" t="s">
        <v>157</v>
      </c>
      <c r="E3" s="9" t="s">
        <v>158</v>
      </c>
      <c r="F3" s="106" t="s">
        <v>159</v>
      </c>
      <c r="G3" s="106"/>
      <c r="H3" s="106"/>
      <c r="I3" s="88" t="s">
        <v>160</v>
      </c>
      <c r="J3" s="88" t="s">
        <v>168</v>
      </c>
      <c r="K3" s="88" t="s">
        <v>169</v>
      </c>
      <c r="L3" s="106" t="s">
        <v>161</v>
      </c>
      <c r="M3" s="106"/>
      <c r="N3" s="106"/>
      <c r="O3" s="9" t="s">
        <v>162</v>
      </c>
      <c r="P3" s="9" t="s">
        <v>163</v>
      </c>
      <c r="Q3" s="9" t="s">
        <v>164</v>
      </c>
      <c r="R3" s="9" t="s">
        <v>165</v>
      </c>
      <c r="S3" s="9" t="s">
        <v>17</v>
      </c>
      <c r="T3" s="9" t="s">
        <v>170</v>
      </c>
      <c r="U3" s="106" t="s">
        <v>166</v>
      </c>
      <c r="V3" s="106"/>
      <c r="W3" s="106"/>
      <c r="X3" s="9" t="s">
        <v>167</v>
      </c>
      <c r="Y3" s="10" t="s">
        <v>21</v>
      </c>
      <c r="Z3" s="11" t="s">
        <v>22</v>
      </c>
      <c r="AA3" s="12" t="s">
        <v>23</v>
      </c>
      <c r="AB3" s="13">
        <v>0.1</v>
      </c>
      <c r="AC3" s="7"/>
      <c r="AD3" s="13"/>
      <c r="AE3" s="14"/>
      <c r="AF3" s="15" t="s">
        <v>24</v>
      </c>
      <c r="AG3" s="16" t="s">
        <v>25</v>
      </c>
      <c r="AH3" s="16" t="s">
        <v>26</v>
      </c>
      <c r="AI3" s="16" t="s">
        <v>27</v>
      </c>
      <c r="AJ3" s="16" t="s">
        <v>28</v>
      </c>
      <c r="AM3" s="18"/>
      <c r="AO3" s="19" t="s">
        <v>29</v>
      </c>
    </row>
    <row r="4" spans="1:49" s="17" customFormat="1">
      <c r="A4" s="9"/>
      <c r="B4" s="9"/>
      <c r="C4" s="9"/>
      <c r="D4" s="9"/>
      <c r="E4" s="9"/>
      <c r="F4" s="9"/>
      <c r="G4" s="9"/>
      <c r="H4" s="9"/>
      <c r="I4" s="88"/>
      <c r="J4" s="88"/>
      <c r="K4" s="88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1"/>
      <c r="AC4" s="20"/>
      <c r="AE4" s="14"/>
      <c r="AF4" s="15"/>
      <c r="AG4" s="21"/>
      <c r="AH4" s="21"/>
      <c r="AI4" s="21"/>
      <c r="AJ4" s="21"/>
      <c r="AM4" s="18"/>
    </row>
    <row r="5" spans="1:49" s="19" customFormat="1" ht="15.95" customHeight="1">
      <c r="A5" s="22"/>
      <c r="B5" s="22"/>
      <c r="C5" s="22"/>
      <c r="D5" s="22"/>
      <c r="E5" s="11"/>
      <c r="F5" s="11" t="s">
        <v>30</v>
      </c>
      <c r="G5" s="11" t="s">
        <v>31</v>
      </c>
      <c r="H5" s="11" t="s">
        <v>32</v>
      </c>
      <c r="I5" s="89"/>
      <c r="J5" s="89"/>
      <c r="K5" s="105"/>
      <c r="L5" s="11" t="s">
        <v>33</v>
      </c>
      <c r="M5" s="11" t="s">
        <v>34</v>
      </c>
      <c r="N5" s="11" t="s">
        <v>32</v>
      </c>
      <c r="O5" s="11"/>
      <c r="P5" s="11"/>
      <c r="Q5" s="11"/>
      <c r="R5" s="11"/>
      <c r="S5" s="11"/>
      <c r="T5" s="11"/>
      <c r="U5" s="11" t="s">
        <v>35</v>
      </c>
      <c r="V5" s="11" t="s">
        <v>36</v>
      </c>
      <c r="W5" s="11" t="s">
        <v>37</v>
      </c>
      <c r="X5" s="11"/>
      <c r="Y5" s="11"/>
      <c r="Z5" s="11"/>
      <c r="AE5" s="24"/>
      <c r="AG5" s="25"/>
      <c r="AH5" s="25"/>
      <c r="AI5" s="25"/>
      <c r="AJ5" s="25"/>
      <c r="AM5" s="26"/>
    </row>
    <row r="6" spans="1:49" s="95" customFormat="1" ht="15.95" customHeight="1">
      <c r="A6" s="90">
        <v>1</v>
      </c>
      <c r="B6" s="91" t="s">
        <v>153</v>
      </c>
      <c r="C6" s="92"/>
      <c r="D6" s="92"/>
      <c r="E6" s="93">
        <f>SUM(F6:I6)</f>
        <v>30332000</v>
      </c>
      <c r="F6" s="93">
        <f>IF(K6&gt;24200000,18%*24200000,K6*18%)</f>
        <v>4356000</v>
      </c>
      <c r="G6" s="93">
        <f>IF(K6&gt;24200000,3%*24200000,K6*18%)</f>
        <v>726000</v>
      </c>
      <c r="H6" s="93">
        <f>K6*1%</f>
        <v>250000</v>
      </c>
      <c r="I6" s="93">
        <f>K6+J6+U6+V6+W6+T6</f>
        <v>25000000</v>
      </c>
      <c r="J6" s="93"/>
      <c r="K6" s="93">
        <v>25000000</v>
      </c>
      <c r="L6" s="93">
        <f>IF(K6&gt;24200000,24200000*8%,K6*8%)</f>
        <v>1936000</v>
      </c>
      <c r="M6" s="93">
        <f>IF(K6&gt;24200000,1.5%*24200000,K6*1.5%)</f>
        <v>363000</v>
      </c>
      <c r="N6" s="93">
        <f>K6*1%</f>
        <v>250000</v>
      </c>
      <c r="O6" s="93"/>
      <c r="P6" s="93">
        <f>9000000+O6*3600000</f>
        <v>9000000</v>
      </c>
      <c r="Q6" s="93">
        <f>IF(+I6-L6-M6-N6-P6&gt;0,+I6-L6-M6-N6-P6,0)</f>
        <v>13451000</v>
      </c>
      <c r="R6" s="61">
        <f>ROUND(IF(AND(0&lt;Q6,Q6&lt;=5000000),Q6*0.05,IF(AND(5000000&lt;Q6,Q6&lt;=10000000),((5000000*5%)+(Q6-5000000)*10%),IF(AND(10000000&lt;Q6,Q6&lt;=18000000),((5000000*5%)+(5000000*10%)+(Q6-10000000)*15%),IF(AND(18000000&lt;Q6,Q6&lt;=32000000),((5000000*5%)+(5000000*10%)+(8000000*15%)+(Q6-18000000)*20%),IF(AND(32000000&lt;Q6,Q6&lt;=52000000),((5000000*5%)+(5000000*10%)+(8000000*15%)+(14000000*20%)+(Q6-32000000)*25%),IF(AND(52000000&lt;Q6,Q6&lt;=80000000),((5000000*5%)+(5000000*10%)+(8000000*15%)+(14000000*20%)+(20000000*25%)+(Q6-52000000)*30%),IF(Q6&gt;80000000,((5000000*5%)+(5000000*10%)+(8000000*15%)+(14000000*20%)+(20000000*25%)+(28000000*30%)+(Q6-80000000)*35%),0))))))),0)</f>
        <v>1267650</v>
      </c>
      <c r="S6" s="61">
        <v>0</v>
      </c>
      <c r="T6" s="61"/>
      <c r="U6" s="93"/>
      <c r="V6" s="93"/>
      <c r="W6" s="93"/>
      <c r="X6" s="37">
        <f>+K6-L6-M6-N6-R6++U6+V6+W6+S6+T6</f>
        <v>21183350</v>
      </c>
      <c r="Y6" s="37">
        <f>X6</f>
        <v>21183350</v>
      </c>
      <c r="Z6" s="37" t="s">
        <v>43</v>
      </c>
      <c r="AA6" s="94" t="e">
        <f>#REF!+T6</f>
        <v>#REF!</v>
      </c>
      <c r="AC6" s="96">
        <f>SUBTOTAL(9,'[1]Kelly (2)'!E29)</f>
        <v>74327500</v>
      </c>
      <c r="AD6" s="97" t="b">
        <f t="shared" ref="AD6:AD15" si="0">SUBTOTAL(9,X6)=AC6</f>
        <v>0</v>
      </c>
      <c r="AE6" s="98">
        <v>642</v>
      </c>
      <c r="AF6" s="97">
        <v>38991250</v>
      </c>
      <c r="AG6" s="99" t="e">
        <f>#REF!-AA7</f>
        <v>#REF!</v>
      </c>
      <c r="AH6" s="99">
        <f>AB6-'[1]Salaries+Bonus'!AB3</f>
        <v>-28111125</v>
      </c>
      <c r="AI6" s="100">
        <f>AB6-'[1]Salaries Feb'!Z5</f>
        <v>-38991250</v>
      </c>
      <c r="AJ6" s="100">
        <f>R6-'[1]Salaries+Bonus'!S3</f>
        <v>-15276225</v>
      </c>
      <c r="AK6" s="101">
        <f>9000000</f>
        <v>9000000</v>
      </c>
      <c r="AL6" s="101">
        <f t="shared" ref="AL6:AL15" si="1">P6-AK6</f>
        <v>0</v>
      </c>
      <c r="AM6" s="102">
        <v>23</v>
      </c>
      <c r="AN6" s="101">
        <f t="shared" ref="AN6:AN15" si="2">X6-S6</f>
        <v>21183350</v>
      </c>
      <c r="AO6" s="95" t="s">
        <v>44</v>
      </c>
      <c r="AQ6" s="37" t="s">
        <v>43</v>
      </c>
      <c r="AR6" s="95" t="b">
        <f>SUBTOTAL(9,AQ6)=Z6</f>
        <v>0</v>
      </c>
      <c r="AV6" s="103">
        <f>SUBTOTAL(9,'[1]Kelly (2)'!E29)</f>
        <v>74327500</v>
      </c>
      <c r="AW6" s="95" t="b">
        <f t="shared" ref="AW6:AW15" si="3">SUM(AV6)=X6</f>
        <v>0</v>
      </c>
    </row>
    <row r="7" spans="1:49" s="19" customFormat="1" ht="15.95" customHeight="1">
      <c r="A7" s="27">
        <v>2</v>
      </c>
      <c r="B7" s="28"/>
      <c r="C7" s="29"/>
      <c r="D7" s="29"/>
      <c r="E7" s="32">
        <f t="shared" ref="E7:E15" si="4">SUM(F7:I7)</f>
        <v>26075000</v>
      </c>
      <c r="F7" s="104">
        <f t="shared" ref="F7:F16" si="5">IF(K7&gt;24200000,18%*24200000,K7*18%)</f>
        <v>675000</v>
      </c>
      <c r="G7" s="104">
        <f>IF(K7&gt;24200000,3%*24200000,K7*3%)</f>
        <v>112500</v>
      </c>
      <c r="H7" s="32">
        <f t="shared" ref="H7" si="6">K7*1%</f>
        <v>37500</v>
      </c>
      <c r="I7" s="93">
        <f>K7+J7+U7+V7+W7</f>
        <v>25250000</v>
      </c>
      <c r="J7" s="32">
        <v>21500000</v>
      </c>
      <c r="K7" s="93">
        <v>3750000</v>
      </c>
      <c r="L7" s="104">
        <f t="shared" ref="L7:L15" si="7">IF(K7&gt;24200000,24200000*8%,K7*8%)</f>
        <v>300000</v>
      </c>
      <c r="M7" s="104">
        <f t="shared" ref="M7:M15" si="8">IF(K7&gt;24200000,1.5%*24200000,K7*1.5%)</f>
        <v>56250</v>
      </c>
      <c r="N7" s="32">
        <f t="shared" ref="N7:N15" si="9">K7*1%</f>
        <v>37500</v>
      </c>
      <c r="O7" s="32">
        <v>2</v>
      </c>
      <c r="P7" s="32">
        <f t="shared" ref="P7:P15" si="10">9000000+O7*3600000</f>
        <v>16200000</v>
      </c>
      <c r="Q7" s="93">
        <f t="shared" ref="Q7:Q15" si="11">IF(+I7-L7-M7-N7-P7&gt;0,+I7-L7-M7-N7-P7,0)</f>
        <v>8656250</v>
      </c>
      <c r="R7" s="36">
        <f t="shared" ref="R7:R15" si="12">ROUND(IF(AND(0&lt;Q7,Q7&lt;=5000000),Q7*0.05,IF(AND(5000000&lt;Q7,Q7&lt;=10000000),((5000000*5%)+(Q7-5000000)*10%),IF(AND(10000000&lt;Q7,Q7&lt;=18000000),((5000000*5%)+(5000000*10%)+(Q7-10000000)*15%),IF(AND(18000000&lt;Q7,Q7&lt;=32000000),((5000000*5%)+(5000000*10%)+(8000000*15%)+(Q7-18000000)*20%),IF(AND(32000000&lt;Q7,Q7&lt;=52000000),((5000000*5%)+(5000000*10%)+(8000000*15%)+(14000000*20%)+(Q7-32000000)*25%),IF(AND(52000000&lt;Q7,Q7&lt;=80000000),((5000000*5%)+(5000000*10%)+(8000000*15%)+(14000000*20%)+(20000000*25%)+(Q7-52000000)*30%),IF(Q7&gt;80000000,((5000000*5%)+(5000000*10%)+(8000000*15%)+(14000000*20%)+(20000000*25%)+(28000000*30%)+(Q7-80000000)*35%),0))))))),0)</f>
        <v>615625</v>
      </c>
      <c r="S7" s="36"/>
      <c r="T7" s="107"/>
      <c r="U7" s="32"/>
      <c r="V7" s="32"/>
      <c r="W7" s="32"/>
      <c r="X7" s="37">
        <f t="shared" ref="X7:X15" si="13">+K7-L7-M7-N7-R7++U7+V7+W7+S7+T7</f>
        <v>2740625</v>
      </c>
      <c r="Y7" s="38">
        <f t="shared" ref="Y7:Y15" si="14">X7</f>
        <v>2740625</v>
      </c>
      <c r="Z7" s="38" t="s">
        <v>22</v>
      </c>
      <c r="AA7" s="39" t="e">
        <f>#REF!+T7</f>
        <v>#REF!</v>
      </c>
      <c r="AC7" s="7">
        <f>SUBTOTAL(9,'[1]Rolland (2)'!E29)</f>
        <v>76761750</v>
      </c>
      <c r="AD7" s="41" t="b">
        <f t="shared" si="0"/>
        <v>0</v>
      </c>
      <c r="AE7" s="42">
        <v>641</v>
      </c>
      <c r="AF7" s="41">
        <v>38991250</v>
      </c>
      <c r="AG7" s="43" t="e">
        <f>#REF!-AA8</f>
        <v>#REF!</v>
      </c>
      <c r="AH7" s="43">
        <f>AB7-'[1]Salaries+Bonus'!AB4</f>
        <v>-39210412</v>
      </c>
      <c r="AI7" s="44">
        <f>AB7-'[1]Salaries Feb'!Z6</f>
        <v>-51473300</v>
      </c>
      <c r="AJ7" s="44">
        <f>R7-'[1]Salaries+Bonus'!S4</f>
        <v>-21492963</v>
      </c>
      <c r="AK7" s="45">
        <f t="shared" ref="AK7:AK15" si="15">9000000</f>
        <v>9000000</v>
      </c>
      <c r="AL7" s="45">
        <f t="shared" si="1"/>
        <v>7200000</v>
      </c>
      <c r="AM7" s="26">
        <v>23</v>
      </c>
      <c r="AN7" s="45">
        <f t="shared" si="2"/>
        <v>2740625</v>
      </c>
      <c r="AO7" s="19" t="s">
        <v>44</v>
      </c>
      <c r="AQ7" s="38">
        <v>0</v>
      </c>
      <c r="AV7" s="46">
        <f>SUBTOTAL(9,'[1]Rolland (2)'!E29)</f>
        <v>76761750</v>
      </c>
      <c r="AW7" s="19" t="b">
        <f t="shared" si="3"/>
        <v>0</v>
      </c>
    </row>
    <row r="8" spans="1:49" s="49" customFormat="1" ht="15.95" customHeight="1">
      <c r="A8" s="27">
        <v>3</v>
      </c>
      <c r="B8" s="28"/>
      <c r="C8" s="29"/>
      <c r="D8" s="29"/>
      <c r="E8" s="32">
        <f t="shared" si="4"/>
        <v>11575000</v>
      </c>
      <c r="F8" s="104">
        <f t="shared" si="5"/>
        <v>675000</v>
      </c>
      <c r="G8" s="104">
        <f t="shared" ref="G8:G15" si="16">IF(K8&gt;24200000,3%*24200000,K8*3%)</f>
        <v>112500</v>
      </c>
      <c r="H8" s="32">
        <f>K8*1%</f>
        <v>37500</v>
      </c>
      <c r="I8" s="93">
        <f t="shared" ref="I8:I15" si="17">K8+J8+U8+V8+W8</f>
        <v>10750000</v>
      </c>
      <c r="J8" s="32">
        <v>7000000</v>
      </c>
      <c r="K8" s="93">
        <v>3750000</v>
      </c>
      <c r="L8" s="104">
        <f>IF(K8&gt;24200000,24200000*8%,K8*8%)</f>
        <v>300000</v>
      </c>
      <c r="M8" s="104">
        <f t="shared" si="8"/>
        <v>56250</v>
      </c>
      <c r="N8" s="32">
        <f>K8*1%</f>
        <v>37500</v>
      </c>
      <c r="O8" s="32"/>
      <c r="P8" s="32">
        <f t="shared" si="10"/>
        <v>9000000</v>
      </c>
      <c r="Q8" s="93">
        <f t="shared" si="11"/>
        <v>1356250</v>
      </c>
      <c r="R8" s="36">
        <f>ROUND(IF(AND(0&lt;Q8,Q8&lt;=5000000),Q8*0.05,IF(AND(5000000&lt;Q8,Q8&lt;=10000000),((5000000*5%)+(Q8-5000000)*10%),IF(AND(10000000&lt;Q8,Q8&lt;=18000000),((5000000*5%)+(5000000*10%)+(Q8-10000000)*15%),IF(AND(18000000&lt;Q8,Q8&lt;=32000000),((5000000*5%)+(5000000*10%)+(8000000*15%)+(Q8-18000000)*20%),IF(AND(32000000&lt;Q8,Q8&lt;=52000000),((5000000*5%)+(5000000*10%)+(8000000*15%)+(14000000*20%)+(Q8-32000000)*25%),IF(AND(52000000&lt;Q8,Q8&lt;=80000000),((5000000*5%)+(5000000*10%)+(8000000*15%)+(14000000*20%)+(20000000*25%)+(Q8-52000000)*30%),IF(Q8&gt;80000000,((5000000*5%)+(5000000*10%)+(8000000*15%)+(14000000*20%)+(20000000*25%)+(28000000*30%)+(Q8-80000000)*35%),0))))))),0)</f>
        <v>67813</v>
      </c>
      <c r="S8" s="36">
        <v>0</v>
      </c>
      <c r="T8" s="107"/>
      <c r="U8" s="32"/>
      <c r="V8" s="32"/>
      <c r="W8" s="32"/>
      <c r="X8" s="37">
        <f t="shared" si="13"/>
        <v>3288437</v>
      </c>
      <c r="Y8" s="38">
        <f t="shared" si="14"/>
        <v>3288437</v>
      </c>
      <c r="Z8" s="38" t="s">
        <v>43</v>
      </c>
      <c r="AA8" s="39" t="e">
        <f>#REF!+T8</f>
        <v>#REF!</v>
      </c>
      <c r="AC8" s="50">
        <f>SUBTOTAL(9,[1]Lien!E29)</f>
        <v>37121225</v>
      </c>
      <c r="AD8" s="41" t="b">
        <f t="shared" si="0"/>
        <v>0</v>
      </c>
      <c r="AE8" s="42">
        <v>642</v>
      </c>
      <c r="AF8" s="51">
        <v>34763500</v>
      </c>
      <c r="AG8" s="52" t="e">
        <f>#REF!-AA9</f>
        <v>#REF!</v>
      </c>
      <c r="AH8" s="52">
        <f>AB8-'[1]Salaries+Bonus'!AB13</f>
        <v>-27141625</v>
      </c>
      <c r="AI8" s="53">
        <f>AB8-'[1]Salaries Feb'!Z15</f>
        <v>-34763500</v>
      </c>
      <c r="AJ8" s="53">
        <f>R8-'[1]Salaries+Bonus'!S13</f>
        <v>-8950562</v>
      </c>
      <c r="AK8" s="54">
        <f t="shared" si="15"/>
        <v>9000000</v>
      </c>
      <c r="AL8" s="54">
        <f t="shared" si="1"/>
        <v>0</v>
      </c>
      <c r="AM8" s="26">
        <v>23</v>
      </c>
      <c r="AN8" s="45">
        <f t="shared" si="2"/>
        <v>3288437</v>
      </c>
      <c r="AO8" s="19" t="s">
        <v>44</v>
      </c>
      <c r="AQ8" s="38" t="s">
        <v>43</v>
      </c>
      <c r="AV8" s="46">
        <f>SUBTOTAL(9,[1]Lien!E29)</f>
        <v>37121225</v>
      </c>
      <c r="AW8" s="19" t="b">
        <f t="shared" si="3"/>
        <v>0</v>
      </c>
    </row>
    <row r="9" spans="1:49" ht="15.95" customHeight="1">
      <c r="A9" s="27">
        <v>4</v>
      </c>
      <c r="B9" s="55"/>
      <c r="C9" s="29"/>
      <c r="D9" s="58"/>
      <c r="E9" s="32">
        <f t="shared" si="4"/>
        <v>6100000</v>
      </c>
      <c r="F9" s="104">
        <f t="shared" si="5"/>
        <v>900000</v>
      </c>
      <c r="G9" s="104">
        <f t="shared" si="16"/>
        <v>150000</v>
      </c>
      <c r="H9" s="32">
        <f t="shared" ref="H9:H15" si="18">K9*1%</f>
        <v>50000</v>
      </c>
      <c r="I9" s="93">
        <f t="shared" si="17"/>
        <v>5000000</v>
      </c>
      <c r="J9" s="32"/>
      <c r="K9" s="93">
        <v>5000000</v>
      </c>
      <c r="L9" s="104">
        <f t="shared" si="7"/>
        <v>400000</v>
      </c>
      <c r="M9" s="104">
        <f t="shared" si="8"/>
        <v>75000</v>
      </c>
      <c r="N9" s="32">
        <f t="shared" si="9"/>
        <v>50000</v>
      </c>
      <c r="O9" s="32"/>
      <c r="P9" s="32">
        <f t="shared" si="10"/>
        <v>9000000</v>
      </c>
      <c r="Q9" s="93">
        <f t="shared" si="11"/>
        <v>0</v>
      </c>
      <c r="R9" s="36">
        <f t="shared" si="12"/>
        <v>0</v>
      </c>
      <c r="S9" s="36"/>
      <c r="T9" s="107"/>
      <c r="U9" s="32"/>
      <c r="V9" s="32"/>
      <c r="W9" s="32"/>
      <c r="X9" s="37">
        <f t="shared" si="13"/>
        <v>4475000</v>
      </c>
      <c r="Y9" s="38">
        <f t="shared" si="14"/>
        <v>4475000</v>
      </c>
      <c r="Z9" s="38" t="s">
        <v>22</v>
      </c>
      <c r="AA9" s="39" t="e">
        <f>#REF!+T9</f>
        <v>#REF!</v>
      </c>
      <c r="AC9" s="7">
        <f>SUBTOTAL(9,'[1]Huy '!E29)</f>
        <v>26463250</v>
      </c>
      <c r="AD9" s="41" t="b">
        <f t="shared" si="0"/>
        <v>0</v>
      </c>
      <c r="AE9" s="42">
        <v>641</v>
      </c>
      <c r="AF9" s="41">
        <v>12841600</v>
      </c>
      <c r="AG9" s="43" t="e">
        <f>#REF!-AA10</f>
        <v>#REF!</v>
      </c>
      <c r="AH9" s="43">
        <f>AB9-'[1]Salaries+Bonus'!AB5</f>
        <v>-24061360</v>
      </c>
      <c r="AI9" s="44">
        <f>AB9-'[1]Salaries Feb'!Z7</f>
        <v>-25683200</v>
      </c>
      <c r="AJ9" s="44">
        <f>R9-'[1]Salaries+Bonus'!S5</f>
        <v>-1844640</v>
      </c>
      <c r="AK9" s="45">
        <f t="shared" si="15"/>
        <v>9000000</v>
      </c>
      <c r="AL9" s="45">
        <f t="shared" si="1"/>
        <v>0</v>
      </c>
      <c r="AM9" s="26">
        <v>23</v>
      </c>
      <c r="AN9" s="45">
        <f t="shared" si="2"/>
        <v>4475000</v>
      </c>
      <c r="AO9" s="59" t="s">
        <v>59</v>
      </c>
      <c r="AQ9" s="38" t="s">
        <v>22</v>
      </c>
      <c r="AV9" s="46">
        <f>SUBTOTAL(9,'[1]Huy '!E29)</f>
        <v>26463250</v>
      </c>
      <c r="AW9" s="19" t="b">
        <f t="shared" si="3"/>
        <v>0</v>
      </c>
    </row>
    <row r="10" spans="1:49" ht="15.95" customHeight="1">
      <c r="A10" s="27">
        <v>5</v>
      </c>
      <c r="B10" s="55"/>
      <c r="C10" s="29"/>
      <c r="D10" s="55"/>
      <c r="E10" s="32">
        <f t="shared" si="4"/>
        <v>6100000</v>
      </c>
      <c r="F10" s="104">
        <f t="shared" si="5"/>
        <v>900000</v>
      </c>
      <c r="G10" s="104">
        <f t="shared" si="16"/>
        <v>150000</v>
      </c>
      <c r="H10" s="32">
        <f t="shared" si="18"/>
        <v>50000</v>
      </c>
      <c r="I10" s="93">
        <f t="shared" si="17"/>
        <v>5000000</v>
      </c>
      <c r="J10" s="32"/>
      <c r="K10" s="93">
        <v>5000000</v>
      </c>
      <c r="L10" s="104">
        <f t="shared" si="7"/>
        <v>400000</v>
      </c>
      <c r="M10" s="104">
        <f t="shared" si="8"/>
        <v>75000</v>
      </c>
      <c r="N10" s="32">
        <f t="shared" si="9"/>
        <v>50000</v>
      </c>
      <c r="O10" s="32"/>
      <c r="P10" s="32">
        <f t="shared" si="10"/>
        <v>9000000</v>
      </c>
      <c r="Q10" s="93">
        <f t="shared" si="11"/>
        <v>0</v>
      </c>
      <c r="R10" s="36">
        <f t="shared" si="12"/>
        <v>0</v>
      </c>
      <c r="S10" s="61"/>
      <c r="T10" s="107"/>
      <c r="U10" s="32"/>
      <c r="V10" s="32"/>
      <c r="W10" s="32"/>
      <c r="X10" s="37">
        <f t="shared" si="13"/>
        <v>4475000</v>
      </c>
      <c r="Y10" s="38">
        <f t="shared" si="14"/>
        <v>4475000</v>
      </c>
      <c r="Z10" s="38" t="s">
        <v>22</v>
      </c>
      <c r="AA10" s="39" t="e">
        <f>#REF!+T10</f>
        <v>#REF!</v>
      </c>
      <c r="AC10" s="7">
        <f>SUBTOTAL(9,[1]N.Hai!E29)</f>
        <v>25618625</v>
      </c>
      <c r="AD10" s="41" t="b">
        <f t="shared" si="0"/>
        <v>0</v>
      </c>
      <c r="AE10" s="42">
        <v>641</v>
      </c>
      <c r="AF10" s="41">
        <v>12183800</v>
      </c>
      <c r="AG10" s="43" t="e">
        <f>#REF!-AA11</f>
        <v>#REF!</v>
      </c>
      <c r="AH10" s="43">
        <f>AB10-'[1]Salaries+Bonus'!AB7</f>
        <v>-22068040</v>
      </c>
      <c r="AI10" s="44">
        <f>AB10-'[1]Salaries Feb'!Z9</f>
        <v>-24367600</v>
      </c>
      <c r="AJ10" s="44">
        <f>R10-'[1]Salaries+Bonus'!S7</f>
        <v>-3837960</v>
      </c>
      <c r="AK10" s="45">
        <f t="shared" si="15"/>
        <v>9000000</v>
      </c>
      <c r="AL10" s="45">
        <f t="shared" si="1"/>
        <v>0</v>
      </c>
      <c r="AM10" s="26">
        <v>23</v>
      </c>
      <c r="AN10" s="45">
        <f t="shared" si="2"/>
        <v>4475000</v>
      </c>
      <c r="AO10" s="59" t="s">
        <v>59</v>
      </c>
      <c r="AQ10" s="38" t="s">
        <v>22</v>
      </c>
      <c r="AV10" s="46">
        <f>SUBTOTAL(9,[1]N.Hai!E29)</f>
        <v>25618625</v>
      </c>
      <c r="AW10" s="19" t="b">
        <f t="shared" si="3"/>
        <v>0</v>
      </c>
    </row>
    <row r="11" spans="1:49" ht="15.95" customHeight="1">
      <c r="A11" s="27">
        <v>6</v>
      </c>
      <c r="B11" s="48"/>
      <c r="C11" s="29"/>
      <c r="D11" s="29"/>
      <c r="E11" s="32">
        <f t="shared" si="4"/>
        <v>6100000</v>
      </c>
      <c r="F11" s="104">
        <f t="shared" si="5"/>
        <v>900000</v>
      </c>
      <c r="G11" s="104">
        <f t="shared" si="16"/>
        <v>150000</v>
      </c>
      <c r="H11" s="32">
        <f t="shared" si="18"/>
        <v>50000</v>
      </c>
      <c r="I11" s="93">
        <f t="shared" si="17"/>
        <v>5000000</v>
      </c>
      <c r="J11" s="32"/>
      <c r="K11" s="93">
        <v>5000000</v>
      </c>
      <c r="L11" s="104">
        <f t="shared" si="7"/>
        <v>400000</v>
      </c>
      <c r="M11" s="104">
        <f t="shared" si="8"/>
        <v>75000</v>
      </c>
      <c r="N11" s="32">
        <f t="shared" si="9"/>
        <v>50000</v>
      </c>
      <c r="O11" s="32"/>
      <c r="P11" s="32">
        <f t="shared" si="10"/>
        <v>9000000</v>
      </c>
      <c r="Q11" s="93">
        <f t="shared" si="11"/>
        <v>0</v>
      </c>
      <c r="R11" s="36">
        <f t="shared" si="12"/>
        <v>0</v>
      </c>
      <c r="S11" s="36">
        <v>0</v>
      </c>
      <c r="T11" s="107"/>
      <c r="U11" s="32"/>
      <c r="V11" s="32"/>
      <c r="W11" s="32"/>
      <c r="X11" s="37">
        <f t="shared" si="13"/>
        <v>4475000</v>
      </c>
      <c r="Y11" s="38">
        <f t="shared" si="14"/>
        <v>4475000</v>
      </c>
      <c r="Z11" s="38" t="s">
        <v>22</v>
      </c>
      <c r="AA11" s="39" t="e">
        <f>#REF!+T11</f>
        <v>#REF!</v>
      </c>
      <c r="AB11" t="s">
        <v>68</v>
      </c>
      <c r="AC11" s="7">
        <f>SUBTOTAL(9,'[1]D.Hai '!E29)</f>
        <v>14627500</v>
      </c>
      <c r="AD11" s="41" t="b">
        <f t="shared" si="0"/>
        <v>0</v>
      </c>
      <c r="AE11" s="42">
        <v>641</v>
      </c>
      <c r="AF11" s="41">
        <v>11693500</v>
      </c>
      <c r="AG11" s="43" t="e">
        <f>#REF!-AA12</f>
        <v>#REF!</v>
      </c>
      <c r="AH11" s="43" t="e">
        <f>AB11-'[1]Salaries+Bonus'!AB16</f>
        <v>#VALUE!</v>
      </c>
      <c r="AI11" s="44" t="e">
        <f>AB11-'[1]Salaries Feb'!Z18</f>
        <v>#VALUE!</v>
      </c>
      <c r="AJ11" s="44">
        <f>R11-'[1]Salaries+Bonus'!S16</f>
        <v>-663700</v>
      </c>
      <c r="AK11" s="45">
        <f t="shared" si="15"/>
        <v>9000000</v>
      </c>
      <c r="AL11" s="45">
        <f t="shared" si="1"/>
        <v>0</v>
      </c>
      <c r="AM11" s="26">
        <v>23</v>
      </c>
      <c r="AN11" s="45">
        <f t="shared" si="2"/>
        <v>4475000</v>
      </c>
      <c r="AO11" s="59" t="s">
        <v>59</v>
      </c>
      <c r="AQ11" s="38" t="s">
        <v>22</v>
      </c>
      <c r="AV11" s="46">
        <f>SUBTOTAL(9,'[1]D.Hai '!E29)</f>
        <v>14627500</v>
      </c>
      <c r="AW11" s="19" t="b">
        <f t="shared" si="3"/>
        <v>0</v>
      </c>
    </row>
    <row r="12" spans="1:49" ht="15.95" customHeight="1">
      <c r="A12" s="27">
        <v>7</v>
      </c>
      <c r="B12" s="48"/>
      <c r="C12" s="29"/>
      <c r="D12" s="29"/>
      <c r="E12" s="32">
        <f t="shared" si="4"/>
        <v>6100000</v>
      </c>
      <c r="F12" s="104">
        <f t="shared" si="5"/>
        <v>900000</v>
      </c>
      <c r="G12" s="104">
        <f t="shared" si="16"/>
        <v>150000</v>
      </c>
      <c r="H12" s="32">
        <f t="shared" si="18"/>
        <v>50000</v>
      </c>
      <c r="I12" s="93">
        <f t="shared" si="17"/>
        <v>5000000</v>
      </c>
      <c r="J12" s="32"/>
      <c r="K12" s="93">
        <v>5000000</v>
      </c>
      <c r="L12" s="104">
        <f t="shared" si="7"/>
        <v>400000</v>
      </c>
      <c r="M12" s="104">
        <f t="shared" si="8"/>
        <v>75000</v>
      </c>
      <c r="N12" s="32">
        <f t="shared" si="9"/>
        <v>50000</v>
      </c>
      <c r="O12" s="32"/>
      <c r="P12" s="32">
        <f t="shared" si="10"/>
        <v>9000000</v>
      </c>
      <c r="Q12" s="93">
        <f t="shared" si="11"/>
        <v>0</v>
      </c>
      <c r="R12" s="36">
        <f t="shared" si="12"/>
        <v>0</v>
      </c>
      <c r="S12" s="36"/>
      <c r="T12" s="107"/>
      <c r="U12" s="32"/>
      <c r="V12" s="32"/>
      <c r="W12" s="32"/>
      <c r="X12" s="37">
        <f t="shared" si="13"/>
        <v>4475000</v>
      </c>
      <c r="Y12" s="38">
        <f t="shared" si="14"/>
        <v>4475000</v>
      </c>
      <c r="Z12" s="38" t="s">
        <v>22</v>
      </c>
      <c r="AA12" s="39" t="e">
        <f>#REF!+T12</f>
        <v>#REF!</v>
      </c>
      <c r="AC12" s="7">
        <f>SUBTOTAL(9,[1]Tuan!E29)</f>
        <v>39308000</v>
      </c>
      <c r="AD12" s="41" t="b">
        <f t="shared" si="0"/>
        <v>0</v>
      </c>
      <c r="AE12" s="42">
        <v>641</v>
      </c>
      <c r="AF12" s="41">
        <v>40430000</v>
      </c>
      <c r="AG12" s="43" t="e">
        <f>#REF!-#REF!</f>
        <v>#REF!</v>
      </c>
      <c r="AH12" s="43">
        <f>AB12-'[1]Salaries+Bonus'!AB14</f>
        <v>-12155000</v>
      </c>
      <c r="AI12" s="44">
        <f>AB12-'[1]Salaries Feb'!Z16</f>
        <v>-20215000</v>
      </c>
      <c r="AJ12" s="44">
        <f>R12-'[1]Salaries+Bonus'!S14</f>
        <v>-8445000</v>
      </c>
      <c r="AK12" s="45">
        <f t="shared" si="15"/>
        <v>9000000</v>
      </c>
      <c r="AL12" s="45">
        <f t="shared" si="1"/>
        <v>0</v>
      </c>
      <c r="AM12" s="26">
        <v>23</v>
      </c>
      <c r="AN12" s="45">
        <f t="shared" si="2"/>
        <v>4475000</v>
      </c>
      <c r="AO12" s="59" t="s">
        <v>74</v>
      </c>
      <c r="AQ12" s="38" t="s">
        <v>22</v>
      </c>
      <c r="AV12" s="46">
        <f>SUBTOTAL(9,[1]Tuan!E29)</f>
        <v>39308000</v>
      </c>
      <c r="AW12" s="19" t="b">
        <f t="shared" si="3"/>
        <v>0</v>
      </c>
    </row>
    <row r="13" spans="1:49" ht="15.95" customHeight="1">
      <c r="A13" s="27">
        <v>8</v>
      </c>
      <c r="B13" s="28"/>
      <c r="C13" s="29"/>
      <c r="D13" s="29"/>
      <c r="E13" s="32">
        <f t="shared" si="4"/>
        <v>6100000</v>
      </c>
      <c r="F13" s="104">
        <f t="shared" si="5"/>
        <v>900000</v>
      </c>
      <c r="G13" s="104">
        <f t="shared" si="16"/>
        <v>150000</v>
      </c>
      <c r="H13" s="32">
        <f t="shared" si="18"/>
        <v>50000</v>
      </c>
      <c r="I13" s="93">
        <f t="shared" si="17"/>
        <v>5000000</v>
      </c>
      <c r="J13" s="32"/>
      <c r="K13" s="93">
        <v>5000000</v>
      </c>
      <c r="L13" s="104">
        <f t="shared" si="7"/>
        <v>400000</v>
      </c>
      <c r="M13" s="104">
        <f t="shared" si="8"/>
        <v>75000</v>
      </c>
      <c r="N13" s="32">
        <f t="shared" si="9"/>
        <v>50000</v>
      </c>
      <c r="O13" s="32"/>
      <c r="P13" s="32">
        <f t="shared" si="10"/>
        <v>9000000</v>
      </c>
      <c r="Q13" s="93">
        <f t="shared" si="11"/>
        <v>0</v>
      </c>
      <c r="R13" s="36">
        <f t="shared" si="12"/>
        <v>0</v>
      </c>
      <c r="S13" s="36"/>
      <c r="T13" s="107"/>
      <c r="U13" s="32"/>
      <c r="V13" s="32"/>
      <c r="W13" s="32"/>
      <c r="X13" s="37">
        <f t="shared" si="13"/>
        <v>4475000</v>
      </c>
      <c r="Y13" s="38">
        <f t="shared" si="14"/>
        <v>4475000</v>
      </c>
      <c r="Z13" s="38" t="s">
        <v>22</v>
      </c>
      <c r="AA13" s="39" t="e">
        <f>#REF!+T13</f>
        <v>#REF!</v>
      </c>
      <c r="AB13" t="s">
        <v>68</v>
      </c>
      <c r="AC13" s="7">
        <f>SUBTOTAL(9,[1]Cuong!E29)</f>
        <v>14668820.499999998</v>
      </c>
      <c r="AD13" s="41" t="b">
        <f t="shared" si="0"/>
        <v>0</v>
      </c>
      <c r="AE13" s="42">
        <v>641</v>
      </c>
      <c r="AF13" s="41">
        <v>6615000</v>
      </c>
      <c r="AG13" s="43" t="e">
        <f>#REF!-AA14</f>
        <v>#REF!</v>
      </c>
      <c r="AH13" s="43" t="e">
        <f>AB13-'[1]Salaries+Bonus'!AB21</f>
        <v>#VALUE!</v>
      </c>
      <c r="AI13" s="44" t="e">
        <f>AB13-'[1]Salaries Feb'!Z23</f>
        <v>#VALUE!</v>
      </c>
      <c r="AJ13" s="44">
        <f>R13-'[1]Salaries+Bonus'!S21</f>
        <v>-2131500</v>
      </c>
      <c r="AK13" s="45"/>
      <c r="AL13" s="45">
        <f t="shared" si="1"/>
        <v>9000000</v>
      </c>
      <c r="AM13" s="26">
        <v>23</v>
      </c>
      <c r="AN13" s="45">
        <f t="shared" si="2"/>
        <v>4475000</v>
      </c>
      <c r="AO13" s="59" t="s">
        <v>74</v>
      </c>
      <c r="AQ13" s="38" t="s">
        <v>22</v>
      </c>
      <c r="AV13" s="46">
        <f>(SUBTOTAL(9,[1]Cuong!E29))</f>
        <v>14668820.499999998</v>
      </c>
      <c r="AW13" s="19" t="b">
        <f t="shared" si="3"/>
        <v>0</v>
      </c>
    </row>
    <row r="14" spans="1:49" ht="15.95" customHeight="1">
      <c r="A14" s="27">
        <v>9</v>
      </c>
      <c r="B14" s="48"/>
      <c r="C14" s="29"/>
      <c r="D14" s="64"/>
      <c r="E14" s="32">
        <f t="shared" si="4"/>
        <v>6100000</v>
      </c>
      <c r="F14" s="104">
        <f t="shared" si="5"/>
        <v>900000</v>
      </c>
      <c r="G14" s="104">
        <f t="shared" si="16"/>
        <v>150000</v>
      </c>
      <c r="H14" s="32">
        <f t="shared" si="18"/>
        <v>50000</v>
      </c>
      <c r="I14" s="93">
        <f t="shared" si="17"/>
        <v>5000000</v>
      </c>
      <c r="J14" s="32"/>
      <c r="K14" s="93">
        <v>5000000</v>
      </c>
      <c r="L14" s="104">
        <f t="shared" si="7"/>
        <v>400000</v>
      </c>
      <c r="M14" s="104">
        <f t="shared" si="8"/>
        <v>75000</v>
      </c>
      <c r="N14" s="32">
        <f t="shared" si="9"/>
        <v>50000</v>
      </c>
      <c r="O14" s="32"/>
      <c r="P14" s="32">
        <f t="shared" si="10"/>
        <v>9000000</v>
      </c>
      <c r="Q14" s="93">
        <f t="shared" si="11"/>
        <v>0</v>
      </c>
      <c r="R14" s="36">
        <f t="shared" si="12"/>
        <v>0</v>
      </c>
      <c r="S14" s="36">
        <v>0</v>
      </c>
      <c r="T14" s="107"/>
      <c r="U14" s="32"/>
      <c r="V14" s="32"/>
      <c r="W14" s="32"/>
      <c r="X14" s="37">
        <f t="shared" si="13"/>
        <v>4475000</v>
      </c>
      <c r="Y14" s="38">
        <f t="shared" si="14"/>
        <v>4475000</v>
      </c>
      <c r="Z14" s="38" t="s">
        <v>22</v>
      </c>
      <c r="AA14" s="39" t="e">
        <f>#REF!+T14</f>
        <v>#REF!</v>
      </c>
      <c r="AB14" t="s">
        <v>68</v>
      </c>
      <c r="AC14" s="7">
        <f>SUBTOTAL(9,[1]Tanh!E29)</f>
        <v>14848819.999999998</v>
      </c>
      <c r="AD14" s="41" t="b">
        <f t="shared" si="0"/>
        <v>0</v>
      </c>
      <c r="AE14" s="42">
        <v>641</v>
      </c>
      <c r="AF14" s="41">
        <v>500000</v>
      </c>
      <c r="AG14" s="43" t="e">
        <f>#REF!-AA15</f>
        <v>#REF!</v>
      </c>
      <c r="AH14" s="43" t="e">
        <f>AB14-'[1]Salaries+Bonus'!AB25</f>
        <v>#VALUE!</v>
      </c>
      <c r="AI14" s="44" t="e">
        <f>AB14-'[1]Salaries Feb'!Z27</f>
        <v>#VALUE!</v>
      </c>
      <c r="AJ14" s="44">
        <f>R14-'[1]Salaries+Bonus'!S25</f>
        <v>-1350000</v>
      </c>
      <c r="AK14" s="45"/>
      <c r="AL14" s="45">
        <f t="shared" si="1"/>
        <v>9000000</v>
      </c>
      <c r="AM14" s="26">
        <v>23</v>
      </c>
      <c r="AN14" s="45">
        <f t="shared" si="2"/>
        <v>4475000</v>
      </c>
      <c r="AO14" s="59" t="s">
        <v>74</v>
      </c>
      <c r="AQ14" s="38" t="s">
        <v>22</v>
      </c>
      <c r="AV14" s="46">
        <f>SUBTOTAL(9,[1]Tanh!E29)</f>
        <v>14848819.999999998</v>
      </c>
      <c r="AW14" s="19" t="b">
        <f t="shared" si="3"/>
        <v>0</v>
      </c>
    </row>
    <row r="15" spans="1:49" ht="15.95" customHeight="1">
      <c r="A15" s="27">
        <v>10</v>
      </c>
      <c r="B15" s="55"/>
      <c r="C15" s="29"/>
      <c r="D15" s="58"/>
      <c r="E15" s="32">
        <f t="shared" si="4"/>
        <v>6100000</v>
      </c>
      <c r="F15" s="104">
        <f>IF(K15&gt;24200000,18%*24200000,K15*18%)</f>
        <v>900000</v>
      </c>
      <c r="G15" s="104">
        <f t="shared" si="16"/>
        <v>150000</v>
      </c>
      <c r="H15" s="32">
        <f t="shared" si="18"/>
        <v>50000</v>
      </c>
      <c r="I15" s="93">
        <f t="shared" si="17"/>
        <v>5000000</v>
      </c>
      <c r="J15" s="32"/>
      <c r="K15" s="93">
        <v>5000000</v>
      </c>
      <c r="L15" s="104">
        <f t="shared" si="7"/>
        <v>400000</v>
      </c>
      <c r="M15" s="104">
        <f t="shared" si="8"/>
        <v>75000</v>
      </c>
      <c r="N15" s="32">
        <f t="shared" si="9"/>
        <v>50000</v>
      </c>
      <c r="O15" s="32"/>
      <c r="P15" s="32">
        <f t="shared" si="10"/>
        <v>9000000</v>
      </c>
      <c r="Q15" s="93">
        <f t="shared" si="11"/>
        <v>0</v>
      </c>
      <c r="R15" s="36">
        <f t="shared" si="12"/>
        <v>0</v>
      </c>
      <c r="S15" s="36"/>
      <c r="T15" s="107"/>
      <c r="U15" s="32"/>
      <c r="V15" s="32"/>
      <c r="W15" s="32"/>
      <c r="X15" s="37">
        <f t="shared" si="13"/>
        <v>4475000</v>
      </c>
      <c r="Y15" s="38">
        <f t="shared" si="14"/>
        <v>4475000</v>
      </c>
      <c r="Z15" s="38" t="s">
        <v>22</v>
      </c>
      <c r="AA15" s="39" t="e">
        <f>#REF!+T15</f>
        <v>#REF!</v>
      </c>
      <c r="AB15"/>
      <c r="AC15" s="7">
        <f>SUBTOTAL(9,[1]Giang!E29)</f>
        <v>14029007</v>
      </c>
      <c r="AD15" s="41" t="b">
        <f t="shared" si="0"/>
        <v>0</v>
      </c>
      <c r="AE15" s="42">
        <v>641</v>
      </c>
      <c r="AF15" s="41">
        <v>4899250</v>
      </c>
      <c r="AG15" s="43" t="e">
        <f>#REF!-AA16</f>
        <v>#REF!</v>
      </c>
      <c r="AH15" s="43">
        <f>AB15-'[1]Salaries+Bonus'!AB9</f>
        <v>-9596112</v>
      </c>
      <c r="AI15" s="44">
        <f>AB15-'[1]Salaries Feb'!Z11</f>
        <v>-9798500</v>
      </c>
      <c r="AJ15" s="44">
        <f>R15-'[1]Salaries+Bonus'!S9</f>
        <v>-202388</v>
      </c>
      <c r="AK15" s="45">
        <f t="shared" si="15"/>
        <v>9000000</v>
      </c>
      <c r="AL15" s="45">
        <f t="shared" si="1"/>
        <v>0</v>
      </c>
      <c r="AM15" s="26">
        <v>23</v>
      </c>
      <c r="AN15" s="45">
        <f t="shared" si="2"/>
        <v>4475000</v>
      </c>
      <c r="AO15" s="59" t="s">
        <v>74</v>
      </c>
      <c r="AQ15" s="38" t="s">
        <v>22</v>
      </c>
      <c r="AV15" s="46">
        <f>SUBTOTAL(9,[1]Giang!E29)</f>
        <v>14029007</v>
      </c>
      <c r="AW15" s="19" t="b">
        <f t="shared" si="3"/>
        <v>0</v>
      </c>
    </row>
    <row r="16" spans="1:49" ht="15.95" customHeight="1">
      <c r="A16" s="27"/>
      <c r="B16" s="28"/>
      <c r="C16" s="29"/>
      <c r="D16" s="29"/>
      <c r="E16" s="32"/>
      <c r="F16" s="104">
        <f t="shared" si="5"/>
        <v>0</v>
      </c>
      <c r="G16" s="32"/>
      <c r="H16" s="32"/>
      <c r="I16" s="32"/>
      <c r="J16" s="32"/>
      <c r="K16" s="93"/>
      <c r="L16" s="32"/>
      <c r="M16" s="32"/>
      <c r="N16" s="32"/>
      <c r="O16" s="32"/>
      <c r="P16" s="32"/>
      <c r="Q16" s="32"/>
      <c r="R16" s="36"/>
      <c r="S16" s="36"/>
      <c r="T16" s="36"/>
      <c r="U16" s="32"/>
      <c r="V16" s="32"/>
      <c r="W16" s="32"/>
      <c r="X16" s="37"/>
      <c r="Y16" s="38"/>
      <c r="Z16" s="32"/>
      <c r="AA16" s="39"/>
      <c r="AB16"/>
      <c r="AD16" s="41"/>
      <c r="AE16" s="42"/>
      <c r="AF16" s="41"/>
      <c r="AG16" s="43"/>
      <c r="AH16" s="43"/>
      <c r="AI16" s="44"/>
      <c r="AJ16" s="44"/>
      <c r="AK16" s="45"/>
      <c r="AL16" s="45"/>
      <c r="AM16" s="26"/>
      <c r="AN16" s="45"/>
      <c r="AO16" s="59"/>
      <c r="AQ16" s="32"/>
      <c r="AV16" s="46"/>
      <c r="AW16" s="19"/>
    </row>
    <row r="17" spans="1:49" ht="15.95" customHeight="1">
      <c r="A17" s="27"/>
      <c r="B17" s="28"/>
      <c r="C17" s="29"/>
      <c r="D17" s="29"/>
      <c r="E17" s="32"/>
      <c r="F17" s="32"/>
      <c r="G17" s="32"/>
      <c r="H17" s="32"/>
      <c r="I17" s="32"/>
      <c r="J17" s="32"/>
      <c r="K17" s="93"/>
      <c r="L17" s="32"/>
      <c r="M17" s="32"/>
      <c r="N17" s="32"/>
      <c r="O17" s="32"/>
      <c r="P17" s="32"/>
      <c r="Q17" s="32"/>
      <c r="R17" s="36"/>
      <c r="S17" s="36"/>
      <c r="T17" s="36"/>
      <c r="U17" s="32"/>
      <c r="V17" s="32"/>
      <c r="W17" s="32"/>
      <c r="X17" s="37"/>
      <c r="Y17" s="38"/>
      <c r="Z17" s="38"/>
      <c r="AA17" s="39"/>
      <c r="AB17"/>
      <c r="AD17" s="41"/>
      <c r="AE17" s="42"/>
      <c r="AF17" s="41"/>
      <c r="AG17" s="43"/>
      <c r="AH17" s="43"/>
      <c r="AI17" s="44"/>
      <c r="AJ17" s="44"/>
      <c r="AK17" s="45"/>
      <c r="AL17" s="45"/>
      <c r="AM17" s="26"/>
      <c r="AN17" s="45"/>
      <c r="AO17" s="59"/>
      <c r="AQ17" s="38"/>
      <c r="AV17" s="46"/>
      <c r="AW17" s="19"/>
    </row>
    <row r="18" spans="1:49" ht="15" customHeight="1">
      <c r="A18" s="27"/>
      <c r="B18" s="55"/>
      <c r="C18" s="29"/>
      <c r="D18" s="58"/>
      <c r="E18" s="32"/>
      <c r="F18" s="32"/>
      <c r="G18" s="32"/>
      <c r="H18" s="32"/>
      <c r="I18" s="32"/>
      <c r="J18" s="32"/>
      <c r="K18" s="93"/>
      <c r="L18" s="32"/>
      <c r="M18" s="32"/>
      <c r="N18" s="32"/>
      <c r="O18" s="32"/>
      <c r="P18" s="32"/>
      <c r="Q18" s="32"/>
      <c r="R18" s="36"/>
      <c r="S18" s="36"/>
      <c r="T18" s="36"/>
      <c r="U18" s="32"/>
      <c r="V18" s="32"/>
      <c r="W18" s="32"/>
      <c r="X18" s="37"/>
      <c r="Y18" s="38"/>
      <c r="Z18" s="38"/>
      <c r="AA18" s="39"/>
      <c r="AB18"/>
      <c r="AD18" s="41"/>
      <c r="AE18" s="42"/>
      <c r="AF18" s="41"/>
      <c r="AG18" s="43"/>
      <c r="AH18" s="43"/>
      <c r="AI18" s="44"/>
      <c r="AJ18" s="44"/>
      <c r="AK18" s="45"/>
      <c r="AL18" s="45"/>
      <c r="AM18" s="26"/>
      <c r="AN18" s="45"/>
      <c r="AO18" s="59"/>
      <c r="AQ18" s="38"/>
      <c r="AV18" s="46"/>
      <c r="AW18" s="19"/>
    </row>
    <row r="19" spans="1:49" ht="15.95" customHeight="1">
      <c r="A19" s="27"/>
      <c r="B19" s="55"/>
      <c r="C19" s="29"/>
      <c r="D19" s="55"/>
      <c r="E19" s="32"/>
      <c r="F19" s="32"/>
      <c r="G19" s="32"/>
      <c r="H19" s="32"/>
      <c r="I19" s="32"/>
      <c r="J19" s="32"/>
      <c r="K19" s="93"/>
      <c r="L19" s="32"/>
      <c r="M19" s="32"/>
      <c r="N19" s="32"/>
      <c r="O19" s="32"/>
      <c r="P19" s="32"/>
      <c r="Q19" s="32"/>
      <c r="R19" s="36"/>
      <c r="S19" s="36"/>
      <c r="T19" s="36"/>
      <c r="U19" s="32"/>
      <c r="V19" s="32"/>
      <c r="W19" s="32"/>
      <c r="X19" s="37"/>
      <c r="Y19" s="38"/>
      <c r="Z19" s="38"/>
      <c r="AA19" s="39"/>
      <c r="AB19"/>
      <c r="AD19" s="41"/>
      <c r="AE19" s="42"/>
      <c r="AF19" s="41"/>
      <c r="AG19" s="43"/>
      <c r="AH19" s="43"/>
      <c r="AI19" s="44"/>
      <c r="AJ19" s="44"/>
      <c r="AK19" s="45"/>
      <c r="AL19" s="45"/>
      <c r="AM19" s="26"/>
      <c r="AN19" s="45"/>
      <c r="AO19" s="59"/>
      <c r="AQ19" s="38"/>
      <c r="AV19" s="46"/>
      <c r="AW19" s="19"/>
    </row>
    <row r="20" spans="1:49" ht="15.95" customHeight="1">
      <c r="A20" s="27"/>
      <c r="B20" s="28"/>
      <c r="C20" s="29"/>
      <c r="D20" s="29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6"/>
      <c r="S20" s="36"/>
      <c r="T20" s="36"/>
      <c r="U20" s="32"/>
      <c r="V20" s="32"/>
      <c r="W20" s="32"/>
      <c r="X20" s="37"/>
      <c r="Y20" s="38"/>
      <c r="Z20" s="38"/>
      <c r="AA20" s="39"/>
      <c r="AB20"/>
      <c r="AD20" s="41"/>
      <c r="AE20" s="42"/>
      <c r="AF20" s="41"/>
      <c r="AG20" s="68"/>
      <c r="AH20" s="68"/>
      <c r="AI20" s="69"/>
      <c r="AJ20" s="69"/>
      <c r="AM20" s="26"/>
      <c r="AN20" s="45"/>
      <c r="AO20" s="59"/>
      <c r="AQ20" s="38"/>
      <c r="AV20" s="46"/>
      <c r="AW20" s="19"/>
    </row>
    <row r="21" spans="1:49" ht="15.95" customHeight="1">
      <c r="A21" s="27"/>
      <c r="B21" s="28"/>
      <c r="C21" s="29"/>
      <c r="D21" s="29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6"/>
      <c r="S21" s="36"/>
      <c r="T21" s="36"/>
      <c r="U21" s="32"/>
      <c r="V21" s="32"/>
      <c r="W21" s="32"/>
      <c r="X21" s="37"/>
      <c r="Y21" s="38"/>
      <c r="Z21" s="38"/>
      <c r="AA21" s="39"/>
      <c r="AB21"/>
      <c r="AD21" s="41"/>
      <c r="AE21" s="42"/>
      <c r="AF21" s="41"/>
      <c r="AG21" s="43"/>
      <c r="AH21" s="43"/>
      <c r="AI21" s="44"/>
      <c r="AJ21" s="44"/>
      <c r="AM21" s="26"/>
      <c r="AN21" s="45"/>
      <c r="AO21" s="59"/>
      <c r="AQ21" s="38"/>
      <c r="AV21" s="46"/>
      <c r="AW21" s="19"/>
    </row>
    <row r="22" spans="1:49" ht="15.95" customHeight="1">
      <c r="A22" s="27"/>
      <c r="B22" s="28"/>
      <c r="C22" s="29"/>
      <c r="D22" s="29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6"/>
      <c r="S22" s="36"/>
      <c r="T22" s="36"/>
      <c r="U22" s="32"/>
      <c r="V22" s="32"/>
      <c r="W22" s="32"/>
      <c r="X22" s="37"/>
      <c r="Y22" s="38"/>
      <c r="Z22" s="38"/>
      <c r="AA22" s="39"/>
      <c r="AB22"/>
      <c r="AD22" s="41"/>
      <c r="AE22" s="42"/>
      <c r="AF22" s="41"/>
      <c r="AG22" s="70"/>
      <c r="AH22" s="70"/>
      <c r="AI22" s="71"/>
      <c r="AJ22" s="71"/>
      <c r="AM22" s="26"/>
      <c r="AN22" s="45"/>
      <c r="AO22" s="59"/>
      <c r="AQ22" s="38"/>
      <c r="AV22" s="46"/>
      <c r="AW22" s="19"/>
    </row>
    <row r="23" spans="1:49" ht="15.95" customHeight="1">
      <c r="A23" s="27"/>
      <c r="B23" s="28"/>
      <c r="C23" s="29"/>
      <c r="D23" s="29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6"/>
      <c r="S23" s="36"/>
      <c r="T23" s="36"/>
      <c r="U23" s="32"/>
      <c r="V23" s="32"/>
      <c r="W23" s="32"/>
      <c r="X23" s="37"/>
      <c r="Y23" s="38"/>
      <c r="Z23" s="38"/>
      <c r="AA23" s="39"/>
      <c r="AB23"/>
      <c r="AD23" s="41"/>
      <c r="AE23" s="42"/>
      <c r="AF23" s="41"/>
      <c r="AG23" s="43"/>
      <c r="AH23" s="43"/>
      <c r="AI23" s="44"/>
      <c r="AJ23" s="44"/>
      <c r="AM23" s="26"/>
      <c r="AN23" s="45"/>
      <c r="AO23" s="59"/>
      <c r="AQ23" s="38"/>
      <c r="AV23" s="46"/>
      <c r="AW23" s="19"/>
    </row>
    <row r="24" spans="1:49" ht="15.95" customHeight="1">
      <c r="A24" s="27"/>
      <c r="B24" s="28"/>
      <c r="C24" s="29"/>
      <c r="D24" s="29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6"/>
      <c r="S24" s="36"/>
      <c r="T24" s="36"/>
      <c r="U24" s="32"/>
      <c r="V24" s="32"/>
      <c r="W24" s="32"/>
      <c r="X24" s="37"/>
      <c r="Y24" s="38"/>
      <c r="Z24" s="38"/>
      <c r="AA24" s="39"/>
      <c r="AB24"/>
      <c r="AD24" s="41"/>
      <c r="AE24" s="42"/>
      <c r="AF24" s="41"/>
      <c r="AG24" s="43"/>
      <c r="AH24" s="43"/>
      <c r="AI24" s="44"/>
      <c r="AJ24" s="44"/>
      <c r="AM24" s="26"/>
      <c r="AN24" s="45"/>
      <c r="AO24" s="59"/>
      <c r="AQ24" s="38"/>
      <c r="AV24" s="46"/>
      <c r="AW24" s="19"/>
    </row>
    <row r="25" spans="1:49" s="49" customFormat="1" ht="15.95" customHeight="1">
      <c r="A25" s="27"/>
      <c r="B25" s="73"/>
      <c r="C25" s="29"/>
      <c r="D25" s="29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6"/>
      <c r="S25" s="78"/>
      <c r="T25" s="78"/>
      <c r="U25" s="32"/>
      <c r="V25" s="32"/>
      <c r="W25" s="32"/>
      <c r="X25" s="37"/>
      <c r="Y25" s="38"/>
      <c r="Z25" s="79"/>
      <c r="AA25" s="39"/>
      <c r="AB25"/>
      <c r="AC25" s="7"/>
      <c r="AD25" s="41"/>
      <c r="AE25" s="42"/>
      <c r="AF25" s="51"/>
      <c r="AG25" s="80"/>
      <c r="AH25" s="80"/>
      <c r="AI25" s="81"/>
      <c r="AJ25" s="81"/>
      <c r="AM25" s="82"/>
      <c r="AN25" s="54"/>
      <c r="AO25" s="59"/>
      <c r="AQ25" s="79"/>
      <c r="AV25" s="46"/>
      <c r="AW25" s="19"/>
    </row>
    <row r="26" spans="1:49" outlineLevel="1">
      <c r="AM26" s="6"/>
    </row>
    <row r="27" spans="1:49" outlineLevel="1">
      <c r="AM27" s="6"/>
    </row>
    <row r="28" spans="1:49" outlineLevel="1">
      <c r="AM28" s="6"/>
    </row>
    <row r="29" spans="1:49" outlineLevel="1">
      <c r="AM29" s="6"/>
    </row>
    <row r="30" spans="1:49" outlineLevel="1">
      <c r="AM30" s="6"/>
    </row>
    <row r="31" spans="1:49" outlineLevel="1">
      <c r="AM31" s="6"/>
    </row>
    <row r="32" spans="1:49" outlineLevel="1">
      <c r="AM32" s="6"/>
    </row>
    <row r="33" spans="8:39" outlineLevel="1">
      <c r="H33" s="6">
        <v>25250000</v>
      </c>
      <c r="I33" s="41">
        <v>3750000</v>
      </c>
      <c r="J33" s="41">
        <f>H33-I33</f>
        <v>21500000</v>
      </c>
      <c r="AM33" s="6"/>
    </row>
    <row r="34" spans="8:39" outlineLevel="1">
      <c r="AM34" s="6"/>
    </row>
    <row r="35" spans="8:39" outlineLevel="1">
      <c r="AM35" s="6"/>
    </row>
    <row r="36" spans="8:39" outlineLevel="1">
      <c r="AM36" s="6"/>
    </row>
    <row r="37" spans="8:39" outlineLevel="1">
      <c r="AM37" s="6"/>
    </row>
    <row r="38" spans="8:39" outlineLevel="1">
      <c r="AM38" s="6"/>
    </row>
    <row r="39" spans="8:39" outlineLevel="1">
      <c r="AM39" s="6"/>
    </row>
    <row r="40" spans="8:39" outlineLevel="1">
      <c r="AM40" s="6"/>
    </row>
    <row r="41" spans="8:39" outlineLevel="1">
      <c r="AM41" s="6"/>
    </row>
    <row r="42" spans="8:39" outlineLevel="1">
      <c r="AM42" s="6"/>
    </row>
    <row r="43" spans="8:39" outlineLevel="1">
      <c r="AM43" s="6"/>
    </row>
    <row r="44" spans="8:39" outlineLevel="1">
      <c r="AM44" s="6"/>
    </row>
    <row r="45" spans="8:39" outlineLevel="1">
      <c r="AM45" s="6"/>
    </row>
    <row r="46" spans="8:39" outlineLevel="1">
      <c r="AM46" s="6"/>
    </row>
    <row r="47" spans="8:39" outlineLevel="1">
      <c r="AM47" s="6"/>
    </row>
    <row r="48" spans="8:39" outlineLevel="1">
      <c r="AM48" s="6"/>
    </row>
    <row r="49" spans="2:39" outlineLevel="1">
      <c r="AM49" s="6"/>
    </row>
    <row r="50" spans="2:39" outlineLevel="1">
      <c r="AM50" s="6"/>
    </row>
    <row r="51" spans="2:39" outlineLevel="1">
      <c r="AM51" s="6"/>
    </row>
    <row r="52" spans="2:39" outlineLevel="1">
      <c r="AM52" s="6"/>
    </row>
    <row r="53" spans="2:39" outlineLevel="1">
      <c r="AM53" s="6"/>
    </row>
    <row r="54" spans="2:39" outlineLevel="1">
      <c r="AM54" s="6"/>
    </row>
    <row r="55" spans="2:39">
      <c r="F55" s="39"/>
      <c r="G55" s="39"/>
      <c r="H55" s="39"/>
      <c r="L55" s="39"/>
      <c r="M55" s="39"/>
      <c r="N55" s="39"/>
      <c r="O55" s="39"/>
      <c r="AM55" s="6"/>
    </row>
    <row r="56" spans="2:39">
      <c r="T56" s="39"/>
      <c r="X56" s="39"/>
      <c r="Y56" s="39"/>
      <c r="AM56" s="6"/>
    </row>
    <row r="57" spans="2:39">
      <c r="F57" s="39"/>
      <c r="L57" s="39"/>
      <c r="M57" s="39"/>
      <c r="AM57" s="6"/>
    </row>
    <row r="58" spans="2:39">
      <c r="U58" s="41"/>
    </row>
    <row r="59" spans="2:39">
      <c r="B59" s="6" t="s">
        <v>140</v>
      </c>
      <c r="E59" s="6" t="s">
        <v>141</v>
      </c>
      <c r="U59" s="41"/>
      <c r="X59" s="83"/>
      <c r="Y59" s="83"/>
      <c r="AM59" s="6"/>
    </row>
    <row r="60" spans="2:39">
      <c r="U60" s="41"/>
    </row>
    <row r="61" spans="2:39">
      <c r="U61" s="39"/>
    </row>
  </sheetData>
  <autoFilter ref="A4:AQ25"/>
  <mergeCells count="3">
    <mergeCell ref="F3:H3"/>
    <mergeCell ref="L3:N3"/>
    <mergeCell ref="U3:W3"/>
  </mergeCells>
  <printOptions horizontalCentered="1"/>
  <pageMargins left="0" right="0" top="0.57999999999999996" bottom="0.75" header="0.3" footer="0.3"/>
  <pageSetup paperSize="8" scale="6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E5" sqref="E5"/>
    </sheetView>
  </sheetViews>
  <sheetFormatPr defaultRowHeight="12.75"/>
  <cols>
    <col min="1" max="1" width="11.85546875" customWidth="1"/>
    <col min="2" max="2" width="37.5703125" customWidth="1"/>
    <col min="3" max="3" width="24.85546875" customWidth="1"/>
    <col min="5" max="6" width="18" customWidth="1"/>
  </cols>
  <sheetData>
    <row r="4" spans="1:3" ht="59.25" customHeight="1">
      <c r="A4" s="86" t="s">
        <v>152</v>
      </c>
      <c r="B4" s="86" t="s">
        <v>150</v>
      </c>
      <c r="C4" s="86" t="s">
        <v>151</v>
      </c>
    </row>
    <row r="5" spans="1:3" ht="21.75" customHeight="1">
      <c r="A5" s="84">
        <v>1</v>
      </c>
      <c r="B5" s="84" t="s">
        <v>143</v>
      </c>
      <c r="C5" s="85">
        <v>0.05</v>
      </c>
    </row>
    <row r="6" spans="1:3" ht="21.75" customHeight="1">
      <c r="A6" s="84">
        <v>2</v>
      </c>
      <c r="B6" s="84" t="s">
        <v>144</v>
      </c>
      <c r="C6" s="85">
        <v>0.1</v>
      </c>
    </row>
    <row r="7" spans="1:3" ht="21.75" customHeight="1">
      <c r="A7" s="84">
        <v>3</v>
      </c>
      <c r="B7" s="84" t="s">
        <v>145</v>
      </c>
      <c r="C7" s="85">
        <v>0.15</v>
      </c>
    </row>
    <row r="8" spans="1:3" ht="21.75" customHeight="1">
      <c r="A8" s="84">
        <v>4</v>
      </c>
      <c r="B8" s="84" t="s">
        <v>146</v>
      </c>
      <c r="C8" s="85">
        <v>0.2</v>
      </c>
    </row>
    <row r="9" spans="1:3" ht="21.75" customHeight="1">
      <c r="A9" s="84">
        <v>5</v>
      </c>
      <c r="B9" s="84" t="s">
        <v>147</v>
      </c>
      <c r="C9" s="85">
        <v>0.25</v>
      </c>
    </row>
    <row r="10" spans="1:3" ht="21.75" customHeight="1">
      <c r="A10" s="84">
        <v>6</v>
      </c>
      <c r="B10" s="84" t="s">
        <v>148</v>
      </c>
      <c r="C10" s="85">
        <v>0.3</v>
      </c>
    </row>
    <row r="11" spans="1:3" ht="21.75" customHeight="1">
      <c r="A11" s="84">
        <v>7</v>
      </c>
      <c r="B11" s="84" t="s">
        <v>149</v>
      </c>
      <c r="C11" s="85">
        <v>0.35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Z61"/>
  <sheetViews>
    <sheetView zoomScaleNormal="100" workbookViewId="0">
      <selection activeCell="N7" sqref="N7"/>
    </sheetView>
  </sheetViews>
  <sheetFormatPr defaultColWidth="9.140625" defaultRowHeight="12.75" outlineLevelRow="1" outlineLevelCol="1"/>
  <cols>
    <col min="1" max="1" width="6.42578125" style="6" customWidth="1"/>
    <col min="2" max="2" width="25.85546875" style="6" customWidth="1"/>
    <col min="3" max="3" width="13.42578125" style="6" customWidth="1"/>
    <col min="4" max="4" width="12.5703125" style="6" hidden="1" customWidth="1"/>
    <col min="5" max="5" width="13.7109375" style="6" hidden="1" customWidth="1"/>
    <col min="6" max="6" width="11.7109375" style="6" hidden="1" customWidth="1"/>
    <col min="7" max="7" width="16.140625" style="6" customWidth="1" outlineLevel="1"/>
    <col min="8" max="8" width="15.7109375" style="6" customWidth="1" outlineLevel="1"/>
    <col min="9" max="9" width="15.28515625" style="6" customWidth="1" outlineLevel="1"/>
    <col min="10" max="10" width="14.140625" style="6" customWidth="1" outlineLevel="1"/>
    <col min="11" max="11" width="17.7109375" style="6" customWidth="1" outlineLevel="1"/>
    <col min="12" max="12" width="17" style="6" customWidth="1" outlineLevel="1"/>
    <col min="13" max="13" width="15.140625" style="6" hidden="1" customWidth="1" outlineLevel="1"/>
    <col min="14" max="14" width="16.5703125" style="6" customWidth="1" outlineLevel="1"/>
    <col min="15" max="15" width="15.85546875" style="6" customWidth="1" outlineLevel="1"/>
    <col min="16" max="16" width="14.7109375" style="6" customWidth="1" outlineLevel="1"/>
    <col min="17" max="17" width="14.28515625" style="6" customWidth="1" outlineLevel="1"/>
    <col min="18" max="18" width="14.140625" style="6" customWidth="1" outlineLevel="1"/>
    <col min="19" max="19" width="17.42578125" style="6" customWidth="1" outlineLevel="1"/>
    <col min="20" max="20" width="15.7109375" style="6" customWidth="1" outlineLevel="1"/>
    <col min="21" max="21" width="16.42578125" style="6" customWidth="1" outlineLevel="1"/>
    <col min="22" max="22" width="13" style="6" hidden="1" customWidth="1" outlineLevel="1"/>
    <col min="23" max="23" width="13.5703125" style="6" hidden="1" customWidth="1" outlineLevel="1"/>
    <col min="24" max="24" width="14.42578125" style="6" customWidth="1" outlineLevel="1"/>
    <col min="25" max="25" width="15.28515625" style="6" customWidth="1" outlineLevel="1"/>
    <col min="26" max="26" width="12.7109375" style="6" customWidth="1" outlineLevel="1"/>
    <col min="27" max="27" width="20.5703125" style="6" customWidth="1" outlineLevel="1"/>
    <col min="28" max="28" width="17.7109375" style="6" customWidth="1" outlineLevel="1"/>
    <col min="29" max="29" width="14.28515625" style="6" hidden="1" customWidth="1" outlineLevel="1"/>
    <col min="30" max="30" width="16.28515625" style="6" hidden="1" customWidth="1"/>
    <col min="31" max="31" width="9.140625" style="6" hidden="1" customWidth="1"/>
    <col min="32" max="32" width="22.42578125" style="7" hidden="1" customWidth="1"/>
    <col min="33" max="33" width="10.42578125" style="6" hidden="1" customWidth="1"/>
    <col min="34" max="35" width="14.140625" style="6" hidden="1" customWidth="1"/>
    <col min="36" max="36" width="16.28515625" style="6" hidden="1" customWidth="1"/>
    <col min="37" max="37" width="24.5703125" style="6" hidden="1" customWidth="1"/>
    <col min="38" max="38" width="22" style="6" hidden="1" customWidth="1"/>
    <col min="39" max="39" width="16.85546875" style="6" hidden="1" customWidth="1"/>
    <col min="40" max="40" width="15.140625" style="6" hidden="1" customWidth="1"/>
    <col min="41" max="41" width="15.42578125" style="6" hidden="1" customWidth="1"/>
    <col min="42" max="42" width="11.42578125" style="8" hidden="1" customWidth="1"/>
    <col min="43" max="43" width="15.85546875" style="6" hidden="1" customWidth="1"/>
    <col min="44" max="50" width="9.140625" style="6" hidden="1" customWidth="1"/>
    <col min="51" max="51" width="13.7109375" style="6" hidden="1" customWidth="1"/>
    <col min="52" max="61" width="0" style="6" hidden="1" customWidth="1"/>
    <col min="62" max="16384" width="9.140625" style="6"/>
  </cols>
  <sheetData>
    <row r="1" spans="1:52" ht="26.25">
      <c r="A1" s="1" t="s">
        <v>0</v>
      </c>
      <c r="B1" s="1"/>
      <c r="C1" s="1"/>
      <c r="D1" s="1"/>
      <c r="E1" s="1"/>
      <c r="F1" s="1"/>
      <c r="G1" s="1"/>
      <c r="H1" s="1"/>
      <c r="I1" s="2"/>
      <c r="J1" s="3"/>
      <c r="K1" s="4"/>
      <c r="L1" s="1"/>
      <c r="M1" s="1"/>
      <c r="N1" s="1"/>
      <c r="O1" s="1"/>
      <c r="P1" s="1"/>
      <c r="Q1" s="1"/>
      <c r="R1" s="1"/>
      <c r="S1" s="1"/>
      <c r="T1" s="5"/>
      <c r="U1" s="1"/>
      <c r="V1" s="1"/>
      <c r="W1" s="1"/>
      <c r="X1" s="1"/>
      <c r="Y1" s="1"/>
      <c r="Z1" s="1"/>
      <c r="AA1" s="1"/>
      <c r="AB1" s="1"/>
      <c r="AC1" s="1"/>
    </row>
    <row r="3" spans="1:52" s="17" customFormat="1" ht="38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6" t="s">
        <v>8</v>
      </c>
      <c r="I3" s="106"/>
      <c r="J3" s="106"/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106" t="s">
        <v>8</v>
      </c>
      <c r="Q3" s="106"/>
      <c r="R3" s="106"/>
      <c r="S3" s="9" t="s">
        <v>14</v>
      </c>
      <c r="T3" s="9" t="s">
        <v>15</v>
      </c>
      <c r="U3" s="9" t="s">
        <v>16</v>
      </c>
      <c r="V3" s="9" t="s">
        <v>17</v>
      </c>
      <c r="W3" s="9" t="s">
        <v>18</v>
      </c>
      <c r="X3" s="106" t="s">
        <v>19</v>
      </c>
      <c r="Y3" s="106"/>
      <c r="Z3" s="106"/>
      <c r="AA3" s="9" t="s">
        <v>20</v>
      </c>
      <c r="AB3" s="10" t="s">
        <v>21</v>
      </c>
      <c r="AC3" s="11" t="s">
        <v>22</v>
      </c>
      <c r="AD3" s="12" t="s">
        <v>23</v>
      </c>
      <c r="AE3" s="13">
        <v>0.1</v>
      </c>
      <c r="AF3" s="7"/>
      <c r="AG3" s="13"/>
      <c r="AH3" s="14"/>
      <c r="AI3" s="15" t="s">
        <v>24</v>
      </c>
      <c r="AJ3" s="16" t="s">
        <v>25</v>
      </c>
      <c r="AK3" s="16" t="s">
        <v>26</v>
      </c>
      <c r="AL3" s="16" t="s">
        <v>27</v>
      </c>
      <c r="AM3" s="16" t="s">
        <v>28</v>
      </c>
      <c r="AP3" s="18"/>
      <c r="AR3" s="19" t="s">
        <v>29</v>
      </c>
    </row>
    <row r="4" spans="1:52" s="17" customForma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0"/>
      <c r="AC4" s="11"/>
      <c r="AF4" s="20"/>
      <c r="AH4" s="14"/>
      <c r="AI4" s="15"/>
      <c r="AJ4" s="21"/>
      <c r="AK4" s="21"/>
      <c r="AL4" s="21"/>
      <c r="AM4" s="21"/>
      <c r="AP4" s="18"/>
    </row>
    <row r="5" spans="1:52" s="19" customFormat="1" ht="15.95" customHeight="1">
      <c r="A5" s="22"/>
      <c r="B5" s="22"/>
      <c r="C5" s="22"/>
      <c r="D5" s="22"/>
      <c r="E5" s="22"/>
      <c r="F5" s="22"/>
      <c r="G5" s="11"/>
      <c r="H5" s="11" t="s">
        <v>30</v>
      </c>
      <c r="I5" s="11" t="s">
        <v>31</v>
      </c>
      <c r="J5" s="11" t="s">
        <v>32</v>
      </c>
      <c r="K5" s="23"/>
      <c r="L5" s="11"/>
      <c r="M5" s="11"/>
      <c r="N5" s="11"/>
      <c r="O5" s="11"/>
      <c r="P5" s="11" t="s">
        <v>33</v>
      </c>
      <c r="Q5" s="11" t="s">
        <v>34</v>
      </c>
      <c r="R5" s="11" t="s">
        <v>32</v>
      </c>
      <c r="S5" s="11"/>
      <c r="T5" s="11"/>
      <c r="U5" s="11"/>
      <c r="V5" s="11"/>
      <c r="W5" s="11"/>
      <c r="X5" s="11" t="s">
        <v>35</v>
      </c>
      <c r="Y5" s="11" t="s">
        <v>36</v>
      </c>
      <c r="Z5" s="11" t="s">
        <v>37</v>
      </c>
      <c r="AA5" s="11"/>
      <c r="AB5" s="11"/>
      <c r="AC5" s="11"/>
      <c r="AH5" s="24"/>
      <c r="AJ5" s="25"/>
      <c r="AK5" s="25"/>
      <c r="AL5" s="25"/>
      <c r="AM5" s="25"/>
      <c r="AP5" s="26"/>
    </row>
    <row r="6" spans="1:52" s="19" customFormat="1" ht="15.95" customHeight="1">
      <c r="A6" s="27" t="s">
        <v>38</v>
      </c>
      <c r="B6" s="28" t="s">
        <v>39</v>
      </c>
      <c r="C6" s="29" t="s">
        <v>40</v>
      </c>
      <c r="D6" s="30">
        <v>41244</v>
      </c>
      <c r="E6" s="31" t="s">
        <v>41</v>
      </c>
      <c r="F6" s="29" t="s">
        <v>42</v>
      </c>
      <c r="G6" s="32">
        <f>SUM(H6:K6)</f>
        <v>95385000</v>
      </c>
      <c r="H6" s="33"/>
      <c r="I6" s="32">
        <f>N6*3%</f>
        <v>690000</v>
      </c>
      <c r="J6" s="33"/>
      <c r="K6" s="34">
        <f>SUM(N6:O6,X6:Z6)+M6</f>
        <v>94695000</v>
      </c>
      <c r="L6" s="35">
        <f t="shared" ref="L6:L25" si="0">N6+O6+X6+Y6+Z6</f>
        <v>94695000</v>
      </c>
      <c r="M6" s="32"/>
      <c r="N6" s="35">
        <v>23000000</v>
      </c>
      <c r="O6" s="35">
        <v>71695000</v>
      </c>
      <c r="P6" s="32"/>
      <c r="Q6" s="32">
        <f t="shared" ref="Q6:Q20" si="1">N6*1.5%</f>
        <v>345000</v>
      </c>
      <c r="R6" s="32"/>
      <c r="S6" s="32">
        <v>9000000</v>
      </c>
      <c r="T6" s="32">
        <f t="shared" ref="T6" si="2">IF(M6+N6+O6-P6-Q6-R6-S6&gt;0,M6+N6+O6-P6-Q6-R6-S6,0)</f>
        <v>85350000</v>
      </c>
      <c r="U6" s="36">
        <f t="shared" ref="U6:U12" si="3">ROUND(IF(AND(0&lt;T6,T6&lt;=5000000),T6*0.05,IF(AND(5000000&lt;T6,T6&lt;=10000000),((5000000*5%)+(T6-5000000)*10%),IF(AND(10000000&lt;T6,T6&lt;=18000000),((5000000*5%)+(5000000*10%)+(T6-10000000)*15%),IF(AND(18000000&lt;T6,T6&lt;=32000000),((5000000*5%)+(5000000*10%)+(8000000*15%)+(T6-18000000)*20%),IF(AND(32000000&lt;T6,T6&lt;=52000000),((5000000*5%)+(5000000*10%)+(8000000*15%)+(14000000*20%)+(T6-32000000)*25%),IF(AND(52000000&lt;T6,T6&lt;=80000000),((5000000*5%)+(5000000*10%)+(8000000*15%)+(14000000*20%)+(20000000*25%)+(T6-52000000)*30%),IF(T6&gt;80000000,((5000000*5%)+(5000000*10%)+(8000000*15%)+(14000000*20%)+(20000000*25%)+(28000000*30%)+(T6-80000000)*35%),0))))))),0)</f>
        <v>20022500</v>
      </c>
      <c r="V6" s="36">
        <v>0</v>
      </c>
      <c r="W6" s="36"/>
      <c r="X6" s="32"/>
      <c r="Y6" s="32"/>
      <c r="Z6" s="32"/>
      <c r="AA6" s="37">
        <f t="shared" ref="AA6" si="4">M6+N6+O6-P6-Q6-R6-U6++X6+Y6+Z6+V6+W6</f>
        <v>74327500</v>
      </c>
      <c r="AB6" s="38">
        <f>AA6</f>
        <v>74327500</v>
      </c>
      <c r="AC6" s="38" t="s">
        <v>43</v>
      </c>
      <c r="AD6" s="39">
        <f t="shared" ref="AD6:AD25" si="5">K6+W6</f>
        <v>94695000</v>
      </c>
      <c r="AF6" s="40">
        <f>SUBTOTAL(9,'[1]Kelly (2)'!E29)</f>
        <v>74327500</v>
      </c>
      <c r="AG6" s="41" t="b">
        <f t="shared" ref="AG6:AG25" si="6">SUBTOTAL(9,AA6)=AF6</f>
        <v>1</v>
      </c>
      <c r="AH6" s="42">
        <v>642</v>
      </c>
      <c r="AI6" s="41">
        <v>38991250</v>
      </c>
      <c r="AJ6" s="43">
        <f t="shared" ref="AJ6:AJ11" si="7">M6-AD7</f>
        <v>-98440000</v>
      </c>
      <c r="AK6" s="43">
        <f>AE6-'[1]Salaries+Bonus'!AB3</f>
        <v>-28111125</v>
      </c>
      <c r="AL6" s="44">
        <f>AE6-'[1]Salaries Feb'!Z5</f>
        <v>-38991250</v>
      </c>
      <c r="AM6" s="44">
        <f>U6-'[1]Salaries+Bonus'!S3</f>
        <v>3478625</v>
      </c>
      <c r="AN6" s="45">
        <f>9000000</f>
        <v>9000000</v>
      </c>
      <c r="AO6" s="45">
        <f t="shared" ref="AO6:AO19" si="8">S6-AN6</f>
        <v>0</v>
      </c>
      <c r="AP6" s="26">
        <v>23</v>
      </c>
      <c r="AQ6" s="45">
        <f t="shared" ref="AQ6:AQ25" si="9">AA6-V6</f>
        <v>74327500</v>
      </c>
      <c r="AR6" s="19" t="s">
        <v>44</v>
      </c>
      <c r="AT6" s="38" t="s">
        <v>43</v>
      </c>
      <c r="AU6" s="19" t="b">
        <f>SUBTOTAL(9,AT6)=AC6</f>
        <v>0</v>
      </c>
      <c r="AY6" s="46">
        <f>SUBTOTAL(9,'[1]Kelly (2)'!E29)</f>
        <v>74327500</v>
      </c>
      <c r="AZ6" s="19" t="b">
        <f t="shared" ref="AZ6:AZ25" si="10">SUM(AY6)=AA6</f>
        <v>1</v>
      </c>
    </row>
    <row r="7" spans="1:52" s="19" customFormat="1" ht="15.95" customHeight="1">
      <c r="A7" s="27" t="s">
        <v>45</v>
      </c>
      <c r="B7" s="28" t="s">
        <v>46</v>
      </c>
      <c r="C7" s="29" t="s">
        <v>47</v>
      </c>
      <c r="D7" s="29"/>
      <c r="E7" s="31" t="s">
        <v>48</v>
      </c>
      <c r="F7" s="29" t="s">
        <v>42</v>
      </c>
      <c r="G7" s="32">
        <f>SUM(H7:K7)</f>
        <v>99130000</v>
      </c>
      <c r="H7" s="33"/>
      <c r="I7" s="32">
        <f t="shared" ref="I7:I20" si="11">N7*3%</f>
        <v>690000</v>
      </c>
      <c r="J7" s="33"/>
      <c r="K7" s="34">
        <f t="shared" ref="K7:K25" si="12">SUM(N7:O7,X7:Z7)+M7</f>
        <v>98440000</v>
      </c>
      <c r="L7" s="35">
        <f t="shared" si="0"/>
        <v>98440000</v>
      </c>
      <c r="M7" s="32"/>
      <c r="N7" s="35">
        <v>23000000</v>
      </c>
      <c r="O7" s="35">
        <v>75440000</v>
      </c>
      <c r="P7" s="32"/>
      <c r="Q7" s="32">
        <f t="shared" si="1"/>
        <v>345000</v>
      </c>
      <c r="R7" s="32"/>
      <c r="S7" s="32">
        <v>9000000</v>
      </c>
      <c r="T7" s="32">
        <f>IF(M7+N7+O7-P7-Q7-R7-S7&gt;0,M7+N7+O7-P7-Q7-R7-S7,0)</f>
        <v>89095000</v>
      </c>
      <c r="U7" s="36">
        <f t="shared" si="3"/>
        <v>21333250</v>
      </c>
      <c r="V7" s="36"/>
      <c r="W7" s="36"/>
      <c r="X7" s="32"/>
      <c r="Y7" s="32"/>
      <c r="Z7" s="32"/>
      <c r="AA7" s="47">
        <f>M7+N7+O7-P7-Q7-R7-U7++X7+Y7+Z7+V7+W7</f>
        <v>76761750</v>
      </c>
      <c r="AB7" s="38">
        <f>AA7</f>
        <v>76761750</v>
      </c>
      <c r="AC7" s="38" t="s">
        <v>22</v>
      </c>
      <c r="AD7" s="39">
        <f t="shared" si="5"/>
        <v>98440000</v>
      </c>
      <c r="AF7" s="7">
        <f>SUBTOTAL(9,'[1]Rolland (2)'!E29)</f>
        <v>76761750</v>
      </c>
      <c r="AG7" s="41" t="b">
        <f t="shared" si="6"/>
        <v>1</v>
      </c>
      <c r="AH7" s="42">
        <v>641</v>
      </c>
      <c r="AI7" s="41">
        <v>38991250</v>
      </c>
      <c r="AJ7" s="43">
        <f t="shared" si="7"/>
        <v>-40713500</v>
      </c>
      <c r="AK7" s="43">
        <f>AE7-'[1]Salaries+Bonus'!AB4</f>
        <v>-39210412</v>
      </c>
      <c r="AL7" s="44">
        <f>AE7-'[1]Salaries Feb'!Z6</f>
        <v>-51473300</v>
      </c>
      <c r="AM7" s="44">
        <f>U7-'[1]Salaries+Bonus'!S4</f>
        <v>-775338</v>
      </c>
      <c r="AN7" s="45">
        <f t="shared" ref="AN7:AN19" si="13">9000000</f>
        <v>9000000</v>
      </c>
      <c r="AO7" s="45">
        <f t="shared" si="8"/>
        <v>0</v>
      </c>
      <c r="AP7" s="26">
        <v>23</v>
      </c>
      <c r="AQ7" s="45">
        <f t="shared" si="9"/>
        <v>76761750</v>
      </c>
      <c r="AR7" s="19" t="s">
        <v>44</v>
      </c>
      <c r="AT7" s="38">
        <v>0</v>
      </c>
      <c r="AY7" s="46">
        <f>SUBTOTAL(9,'[1]Rolland (2)'!E29)</f>
        <v>76761750</v>
      </c>
      <c r="AZ7" s="19" t="b">
        <f t="shared" si="10"/>
        <v>1</v>
      </c>
    </row>
    <row r="8" spans="1:52" s="49" customFormat="1" ht="15.95" customHeight="1">
      <c r="A8" s="27" t="s">
        <v>49</v>
      </c>
      <c r="B8" s="28" t="s">
        <v>50</v>
      </c>
      <c r="C8" s="48" t="s">
        <v>51</v>
      </c>
      <c r="D8" s="30">
        <v>41275</v>
      </c>
      <c r="E8" s="31" t="s">
        <v>52</v>
      </c>
      <c r="F8" s="29" t="s">
        <v>53</v>
      </c>
      <c r="G8" s="32">
        <f>SUM(H8:K8)</f>
        <v>45773500</v>
      </c>
      <c r="H8" s="32">
        <f t="shared" ref="H8:H25" si="14">N8*18%</f>
        <v>4140000</v>
      </c>
      <c r="I8" s="32">
        <f t="shared" si="11"/>
        <v>690000</v>
      </c>
      <c r="J8" s="32">
        <f t="shared" ref="J8:J20" si="15">N8*1%</f>
        <v>230000</v>
      </c>
      <c r="K8" s="34">
        <f t="shared" si="12"/>
        <v>40713500</v>
      </c>
      <c r="L8" s="35">
        <f t="shared" si="0"/>
        <v>40713500</v>
      </c>
      <c r="M8" s="32"/>
      <c r="N8" s="35">
        <v>23000000</v>
      </c>
      <c r="O8" s="35">
        <v>15663500</v>
      </c>
      <c r="P8" s="32">
        <f t="shared" ref="P8:P19" si="16">N8*8%</f>
        <v>1840000</v>
      </c>
      <c r="Q8" s="32">
        <f t="shared" si="1"/>
        <v>345000</v>
      </c>
      <c r="R8" s="32">
        <f t="shared" ref="R8:R20" si="17">N8*1%</f>
        <v>230000</v>
      </c>
      <c r="S8" s="32">
        <v>23400000</v>
      </c>
      <c r="T8" s="32">
        <f>IF(M8+N8+O8-P8-Q8-R8-S8&gt;0,M8+N8+O8-P8-Q8-R8-S8,0)</f>
        <v>12848500</v>
      </c>
      <c r="U8" s="36">
        <f t="shared" si="3"/>
        <v>1177275</v>
      </c>
      <c r="V8" s="36">
        <v>0</v>
      </c>
      <c r="W8" s="36"/>
      <c r="X8" s="32">
        <v>650000</v>
      </c>
      <c r="Y8" s="32">
        <v>700000</v>
      </c>
      <c r="Z8" s="32">
        <v>700000</v>
      </c>
      <c r="AA8" s="47">
        <f t="shared" ref="AA8:AA19" si="18">M8+N8+O8-P8-Q8-R8-U8++X8+Y8+Z8+V8+W8</f>
        <v>37121225</v>
      </c>
      <c r="AB8" s="38">
        <f>AA8</f>
        <v>37121225</v>
      </c>
      <c r="AC8" s="38" t="s">
        <v>43</v>
      </c>
      <c r="AD8" s="39">
        <f t="shared" si="5"/>
        <v>40713500</v>
      </c>
      <c r="AF8" s="50">
        <f>SUBTOTAL(9,[1]Lien!E29)</f>
        <v>37121225</v>
      </c>
      <c r="AG8" s="41" t="b">
        <f t="shared" si="6"/>
        <v>1</v>
      </c>
      <c r="AH8" s="42">
        <v>642</v>
      </c>
      <c r="AI8" s="51">
        <v>34763500</v>
      </c>
      <c r="AJ8" s="52">
        <f t="shared" si="7"/>
        <v>-29157500</v>
      </c>
      <c r="AK8" s="52">
        <f>AE8-'[1]Salaries+Bonus'!AB13</f>
        <v>-27141625</v>
      </c>
      <c r="AL8" s="53">
        <f>AE8-'[1]Salaries Feb'!Z15</f>
        <v>-34763500</v>
      </c>
      <c r="AM8" s="53">
        <f>U8-'[1]Salaries+Bonus'!S13</f>
        <v>-7841100</v>
      </c>
      <c r="AN8" s="54">
        <f t="shared" si="13"/>
        <v>9000000</v>
      </c>
      <c r="AO8" s="54">
        <f t="shared" si="8"/>
        <v>14400000</v>
      </c>
      <c r="AP8" s="26">
        <v>23</v>
      </c>
      <c r="AQ8" s="45">
        <f t="shared" si="9"/>
        <v>37121225</v>
      </c>
      <c r="AR8" s="19" t="s">
        <v>44</v>
      </c>
      <c r="AT8" s="38" t="s">
        <v>43</v>
      </c>
      <c r="AY8" s="46">
        <f>SUBTOTAL(9,[1]Lien!E29)</f>
        <v>37121225</v>
      </c>
      <c r="AZ8" s="19" t="b">
        <f t="shared" si="10"/>
        <v>1</v>
      </c>
    </row>
    <row r="9" spans="1:52" ht="15.95" customHeight="1">
      <c r="A9" s="27" t="s">
        <v>54</v>
      </c>
      <c r="B9" s="55" t="s">
        <v>55</v>
      </c>
      <c r="C9" s="48" t="s">
        <v>56</v>
      </c>
      <c r="D9" s="56">
        <v>41883</v>
      </c>
      <c r="E9" s="57" t="s">
        <v>57</v>
      </c>
      <c r="F9" s="58" t="s">
        <v>58</v>
      </c>
      <c r="G9" s="32">
        <f t="shared" ref="G9:G19" si="19">SUM(H9:K9)</f>
        <v>34217500</v>
      </c>
      <c r="H9" s="32">
        <f t="shared" si="14"/>
        <v>4140000</v>
      </c>
      <c r="I9" s="32">
        <f t="shared" si="11"/>
        <v>690000</v>
      </c>
      <c r="J9" s="32">
        <f t="shared" si="15"/>
        <v>230000</v>
      </c>
      <c r="K9" s="34">
        <f t="shared" si="12"/>
        <v>29157500</v>
      </c>
      <c r="L9" s="35">
        <f t="shared" si="0"/>
        <v>29157500</v>
      </c>
      <c r="M9" s="32"/>
      <c r="N9" s="35">
        <v>23000000</v>
      </c>
      <c r="O9" s="35">
        <v>4507500</v>
      </c>
      <c r="P9" s="32">
        <f t="shared" si="16"/>
        <v>1840000</v>
      </c>
      <c r="Q9" s="32">
        <f t="shared" si="1"/>
        <v>345000</v>
      </c>
      <c r="R9" s="32">
        <f t="shared" si="17"/>
        <v>230000</v>
      </c>
      <c r="S9" s="32">
        <f>9000000+3600000*3</f>
        <v>19800000</v>
      </c>
      <c r="T9" s="32">
        <f t="shared" ref="T9:T24" si="20">IF(M9+N9+O9-P9-Q9-R9-S9&gt;0,M9+N9+O9-P9-Q9-R9-S9,0)</f>
        <v>5292500</v>
      </c>
      <c r="U9" s="36">
        <f>ROUND(IF(AND(0&lt;T9,T9&lt;=5000000),T9*0.05,IF(AND(5000000&lt;T9,T9&lt;=10000000),((5000000*5%)+(T9-5000000)*10%),IF(AND(10000000&lt;T9,T9&lt;=18000000),((5000000*5%)+(5000000*10%)+(T9-10000000)*15%),IF(AND(18000000&lt;T9,T9&lt;=32000000),((5000000*5%)+(5000000*10%)+(8000000*15%)+(T9-18000000)*20%),IF(AND(32000000&lt;T9,T9&lt;=52000000),((5000000*5%)+(5000000*10%)+(8000000*15%)+(14000000*20%)+(T9-32000000)*25%),IF(AND(52000000&lt;T9,T9&lt;=80000000),((5000000*5%)+(5000000*10%)+(8000000*15%)+(14000000*20%)+(20000000*25%)+(T9-52000000)*30%),IF(T9&gt;80000000,((5000000*5%)+(5000000*10%)+(8000000*15%)+(14000000*20%)+(20000000*25%)+(28000000*30%)+(T9-80000000)*35%),0))))))),0)</f>
        <v>279250</v>
      </c>
      <c r="V9" s="36"/>
      <c r="W9" s="36"/>
      <c r="X9" s="32">
        <v>650000</v>
      </c>
      <c r="Y9" s="32">
        <v>500000</v>
      </c>
      <c r="Z9" s="32">
        <v>500000</v>
      </c>
      <c r="AA9" s="47">
        <f t="shared" si="18"/>
        <v>26463250</v>
      </c>
      <c r="AB9" s="38">
        <f>AA9</f>
        <v>26463250</v>
      </c>
      <c r="AC9" s="38" t="s">
        <v>22</v>
      </c>
      <c r="AD9" s="39">
        <f t="shared" si="5"/>
        <v>29157500</v>
      </c>
      <c r="AF9" s="7">
        <f>SUBTOTAL(9,'[1]Huy '!E29)</f>
        <v>26463250</v>
      </c>
      <c r="AG9" s="41" t="b">
        <f t="shared" si="6"/>
        <v>1</v>
      </c>
      <c r="AH9" s="42">
        <v>641</v>
      </c>
      <c r="AI9" s="41">
        <v>12841600</v>
      </c>
      <c r="AJ9" s="43">
        <f t="shared" si="7"/>
        <v>-29157500</v>
      </c>
      <c r="AK9" s="43">
        <f>AE9-'[1]Salaries+Bonus'!AB5</f>
        <v>-24061360</v>
      </c>
      <c r="AL9" s="44">
        <f>AE9-'[1]Salaries Feb'!Z7</f>
        <v>-25683200</v>
      </c>
      <c r="AM9" s="44">
        <f>U9-'[1]Salaries+Bonus'!S5</f>
        <v>-1565390</v>
      </c>
      <c r="AN9" s="45">
        <f t="shared" si="13"/>
        <v>9000000</v>
      </c>
      <c r="AO9" s="45">
        <f t="shared" si="8"/>
        <v>10800000</v>
      </c>
      <c r="AP9" s="26">
        <v>23</v>
      </c>
      <c r="AQ9" s="45">
        <f t="shared" si="9"/>
        <v>26463250</v>
      </c>
      <c r="AR9" s="59" t="s">
        <v>59</v>
      </c>
      <c r="AT9" s="38" t="s">
        <v>22</v>
      </c>
      <c r="AY9" s="46">
        <f>SUBTOTAL(9,'[1]Huy '!E29)</f>
        <v>26463250</v>
      </c>
      <c r="AZ9" s="19" t="b">
        <f t="shared" si="10"/>
        <v>1</v>
      </c>
    </row>
    <row r="10" spans="1:52" ht="15.95" customHeight="1">
      <c r="A10" s="27" t="s">
        <v>60</v>
      </c>
      <c r="B10" s="55" t="s">
        <v>61</v>
      </c>
      <c r="C10" s="48" t="s">
        <v>56</v>
      </c>
      <c r="D10" s="56">
        <v>41914</v>
      </c>
      <c r="E10" s="60" t="s">
        <v>62</v>
      </c>
      <c r="F10" s="55" t="s">
        <v>63</v>
      </c>
      <c r="G10" s="32">
        <f>SUM(H10:K10)</f>
        <v>34217500</v>
      </c>
      <c r="H10" s="32">
        <f t="shared" si="14"/>
        <v>4140000</v>
      </c>
      <c r="I10" s="32">
        <f t="shared" si="11"/>
        <v>690000</v>
      </c>
      <c r="J10" s="32">
        <f t="shared" si="15"/>
        <v>230000</v>
      </c>
      <c r="K10" s="34">
        <f t="shared" si="12"/>
        <v>29157500</v>
      </c>
      <c r="L10" s="35">
        <f t="shared" si="0"/>
        <v>29157500</v>
      </c>
      <c r="M10" s="32"/>
      <c r="N10" s="35">
        <v>23000000</v>
      </c>
      <c r="O10" s="35">
        <v>4507500</v>
      </c>
      <c r="P10" s="32">
        <f t="shared" si="16"/>
        <v>1840000</v>
      </c>
      <c r="Q10" s="32">
        <f t="shared" si="1"/>
        <v>345000</v>
      </c>
      <c r="R10" s="32">
        <f t="shared" si="17"/>
        <v>230000</v>
      </c>
      <c r="S10" s="32">
        <v>12600000</v>
      </c>
      <c r="T10" s="32">
        <f t="shared" si="20"/>
        <v>12492500</v>
      </c>
      <c r="U10" s="36">
        <f t="shared" si="3"/>
        <v>1123875</v>
      </c>
      <c r="V10" s="61"/>
      <c r="W10" s="36"/>
      <c r="X10" s="32">
        <v>650000</v>
      </c>
      <c r="Y10" s="32">
        <v>500000</v>
      </c>
      <c r="Z10" s="32">
        <v>500000</v>
      </c>
      <c r="AA10" s="47">
        <f>M10+N10+O10-P10-Q10-R10-U10++X10+Y10+Z10+V10+W10</f>
        <v>25618625</v>
      </c>
      <c r="AB10" s="38">
        <f>AA10+V10</f>
        <v>25618625</v>
      </c>
      <c r="AC10" s="38" t="s">
        <v>22</v>
      </c>
      <c r="AD10" s="39">
        <f t="shared" si="5"/>
        <v>29157500</v>
      </c>
      <c r="AF10" s="7">
        <f>SUBTOTAL(9,[1]N.Hai!E29)</f>
        <v>25618625</v>
      </c>
      <c r="AG10" s="41" t="b">
        <f t="shared" si="6"/>
        <v>1</v>
      </c>
      <c r="AH10" s="42">
        <v>641</v>
      </c>
      <c r="AI10" s="41">
        <v>12183800</v>
      </c>
      <c r="AJ10" s="43">
        <f t="shared" si="7"/>
        <v>-16150000</v>
      </c>
      <c r="AK10" s="43">
        <f>AE10-'[1]Salaries+Bonus'!AB7</f>
        <v>-22068040</v>
      </c>
      <c r="AL10" s="44">
        <f>AE10-'[1]Salaries Feb'!Z9</f>
        <v>-24367600</v>
      </c>
      <c r="AM10" s="44">
        <f>U10-'[1]Salaries+Bonus'!S7</f>
        <v>-2714085</v>
      </c>
      <c r="AN10" s="45">
        <f t="shared" si="13"/>
        <v>9000000</v>
      </c>
      <c r="AO10" s="45">
        <f t="shared" si="8"/>
        <v>3600000</v>
      </c>
      <c r="AP10" s="26">
        <v>23</v>
      </c>
      <c r="AQ10" s="45">
        <f t="shared" si="9"/>
        <v>25618625</v>
      </c>
      <c r="AR10" s="59" t="s">
        <v>59</v>
      </c>
      <c r="AT10" s="38" t="s">
        <v>22</v>
      </c>
      <c r="AY10" s="46">
        <f>SUBTOTAL(9,[1]N.Hai!E29)</f>
        <v>25618625</v>
      </c>
      <c r="AZ10" s="19" t="b">
        <f t="shared" si="10"/>
        <v>1</v>
      </c>
    </row>
    <row r="11" spans="1:52" ht="15.95" customHeight="1">
      <c r="A11" s="27" t="s">
        <v>64</v>
      </c>
      <c r="B11" s="48" t="s">
        <v>65</v>
      </c>
      <c r="C11" s="48" t="s">
        <v>56</v>
      </c>
      <c r="D11" s="56">
        <v>41456</v>
      </c>
      <c r="E11" s="31" t="s">
        <v>66</v>
      </c>
      <c r="F11" s="29" t="s">
        <v>67</v>
      </c>
      <c r="G11" s="32">
        <f>SUM(H11:K11)</f>
        <v>19340000</v>
      </c>
      <c r="H11" s="32">
        <f t="shared" si="14"/>
        <v>2610000</v>
      </c>
      <c r="I11" s="32">
        <f t="shared" si="11"/>
        <v>435000</v>
      </c>
      <c r="J11" s="32">
        <f t="shared" si="15"/>
        <v>145000</v>
      </c>
      <c r="K11" s="34">
        <f t="shared" si="12"/>
        <v>16150000</v>
      </c>
      <c r="L11" s="35">
        <f t="shared" si="0"/>
        <v>16150000</v>
      </c>
      <c r="M11" s="32"/>
      <c r="N11" s="62">
        <v>14500000</v>
      </c>
      <c r="O11" s="35">
        <v>0</v>
      </c>
      <c r="P11" s="32">
        <f t="shared" si="16"/>
        <v>1160000</v>
      </c>
      <c r="Q11" s="32">
        <f t="shared" si="1"/>
        <v>217500</v>
      </c>
      <c r="R11" s="32">
        <f t="shared" si="17"/>
        <v>145000</v>
      </c>
      <c r="S11" s="32">
        <f>12600000+3600000</f>
        <v>16200000</v>
      </c>
      <c r="T11" s="32">
        <f t="shared" si="20"/>
        <v>0</v>
      </c>
      <c r="U11" s="36">
        <f t="shared" si="3"/>
        <v>0</v>
      </c>
      <c r="V11" s="36">
        <v>0</v>
      </c>
      <c r="W11" s="36"/>
      <c r="X11" s="32">
        <v>650000</v>
      </c>
      <c r="Y11" s="32">
        <v>500000</v>
      </c>
      <c r="Z11" s="32">
        <v>500000</v>
      </c>
      <c r="AA11" s="47">
        <f t="shared" si="18"/>
        <v>14627500</v>
      </c>
      <c r="AB11" s="38">
        <f t="shared" ref="AB11:AB19" si="21">AA11</f>
        <v>14627500</v>
      </c>
      <c r="AC11" s="38" t="s">
        <v>22</v>
      </c>
      <c r="AD11" s="39">
        <f t="shared" si="5"/>
        <v>16150000</v>
      </c>
      <c r="AE11" t="s">
        <v>68</v>
      </c>
      <c r="AF11" s="7">
        <f>SUBTOTAL(9,'[1]D.Hai '!E29)</f>
        <v>14627500</v>
      </c>
      <c r="AG11" s="41" t="b">
        <f t="shared" si="6"/>
        <v>1</v>
      </c>
      <c r="AH11" s="42">
        <v>641</v>
      </c>
      <c r="AI11" s="41">
        <v>11693500</v>
      </c>
      <c r="AJ11" s="43">
        <f t="shared" si="7"/>
        <v>-45925000</v>
      </c>
      <c r="AK11" s="43" t="e">
        <f>AE11-'[1]Salaries+Bonus'!AB16</f>
        <v>#VALUE!</v>
      </c>
      <c r="AL11" s="44" t="e">
        <f>AE11-'[1]Salaries Feb'!Z18</f>
        <v>#VALUE!</v>
      </c>
      <c r="AM11" s="44">
        <f>U11-'[1]Salaries+Bonus'!S16</f>
        <v>-663700</v>
      </c>
      <c r="AN11" s="45">
        <f t="shared" si="13"/>
        <v>9000000</v>
      </c>
      <c r="AO11" s="45">
        <f t="shared" si="8"/>
        <v>7200000</v>
      </c>
      <c r="AP11" s="26">
        <v>23</v>
      </c>
      <c r="AQ11" s="45">
        <f t="shared" si="9"/>
        <v>14627500</v>
      </c>
      <c r="AR11" s="59" t="s">
        <v>59</v>
      </c>
      <c r="AT11" s="38" t="s">
        <v>22</v>
      </c>
      <c r="AY11" s="46">
        <f>SUBTOTAL(9,'[1]D.Hai '!E29)</f>
        <v>14627500</v>
      </c>
      <c r="AZ11" s="19" t="b">
        <f t="shared" si="10"/>
        <v>1</v>
      </c>
    </row>
    <row r="12" spans="1:52" ht="15.95" customHeight="1">
      <c r="A12" s="27" t="s">
        <v>69</v>
      </c>
      <c r="B12" s="48" t="s">
        <v>70</v>
      </c>
      <c r="C12" s="48" t="s">
        <v>71</v>
      </c>
      <c r="D12" s="30">
        <v>41275</v>
      </c>
      <c r="E12" s="31" t="s">
        <v>72</v>
      </c>
      <c r="F12" s="29" t="s">
        <v>73</v>
      </c>
      <c r="G12" s="32">
        <f>SUM(H12:K12)</f>
        <v>50985000</v>
      </c>
      <c r="H12" s="32">
        <f t="shared" si="14"/>
        <v>4140000</v>
      </c>
      <c r="I12" s="32">
        <f t="shared" si="11"/>
        <v>690000</v>
      </c>
      <c r="J12" s="32">
        <f t="shared" si="15"/>
        <v>230000</v>
      </c>
      <c r="K12" s="34">
        <f t="shared" si="12"/>
        <v>45925000</v>
      </c>
      <c r="L12" s="35">
        <f t="shared" si="0"/>
        <v>45925000</v>
      </c>
      <c r="M12" s="32"/>
      <c r="N12" s="35">
        <v>23000000</v>
      </c>
      <c r="O12" s="35">
        <f>7825000+13450000</f>
        <v>21275000</v>
      </c>
      <c r="P12" s="32">
        <f t="shared" si="16"/>
        <v>1840000</v>
      </c>
      <c r="Q12" s="32">
        <f t="shared" si="1"/>
        <v>345000</v>
      </c>
      <c r="R12" s="32">
        <f t="shared" si="17"/>
        <v>230000</v>
      </c>
      <c r="S12" s="32">
        <v>12600000</v>
      </c>
      <c r="T12" s="32">
        <f t="shared" si="20"/>
        <v>29260000</v>
      </c>
      <c r="U12" s="36">
        <f t="shared" si="3"/>
        <v>4202000</v>
      </c>
      <c r="V12" s="36"/>
      <c r="W12" s="36"/>
      <c r="X12" s="32">
        <v>650000</v>
      </c>
      <c r="Y12" s="32">
        <v>500000</v>
      </c>
      <c r="Z12" s="32">
        <v>500000</v>
      </c>
      <c r="AA12" s="47">
        <f t="shared" si="18"/>
        <v>39308000</v>
      </c>
      <c r="AB12" s="38">
        <f t="shared" si="21"/>
        <v>39308000</v>
      </c>
      <c r="AC12" s="38" t="s">
        <v>22</v>
      </c>
      <c r="AD12" s="39">
        <f t="shared" si="5"/>
        <v>45925000</v>
      </c>
      <c r="AF12" s="7">
        <f>SUBTOTAL(9,[1]Tuan!E29)</f>
        <v>39308000</v>
      </c>
      <c r="AG12" s="41" t="b">
        <f t="shared" si="6"/>
        <v>1</v>
      </c>
      <c r="AH12" s="42">
        <v>641</v>
      </c>
      <c r="AI12" s="41">
        <v>40430000</v>
      </c>
      <c r="AJ12" s="43" t="e">
        <f>M12-#REF!</f>
        <v>#REF!</v>
      </c>
      <c r="AK12" s="43">
        <f>AE12-'[1]Salaries+Bonus'!AB14</f>
        <v>-12155000</v>
      </c>
      <c r="AL12" s="44">
        <f>AE12-'[1]Salaries Feb'!Z16</f>
        <v>-20215000</v>
      </c>
      <c r="AM12" s="44">
        <f>U12-'[1]Salaries+Bonus'!S14</f>
        <v>-4243000</v>
      </c>
      <c r="AN12" s="45">
        <f t="shared" si="13"/>
        <v>9000000</v>
      </c>
      <c r="AO12" s="45">
        <f t="shared" si="8"/>
        <v>3600000</v>
      </c>
      <c r="AP12" s="26">
        <v>23</v>
      </c>
      <c r="AQ12" s="45">
        <f t="shared" si="9"/>
        <v>39308000</v>
      </c>
      <c r="AR12" s="59" t="s">
        <v>74</v>
      </c>
      <c r="AT12" s="38" t="s">
        <v>22</v>
      </c>
      <c r="AY12" s="46">
        <f>SUBTOTAL(9,[1]Tuan!E29)</f>
        <v>39308000</v>
      </c>
      <c r="AZ12" s="19" t="b">
        <f t="shared" si="10"/>
        <v>1</v>
      </c>
    </row>
    <row r="13" spans="1:52" ht="15.95" customHeight="1">
      <c r="A13" s="27" t="s">
        <v>75</v>
      </c>
      <c r="B13" s="28" t="s">
        <v>76</v>
      </c>
      <c r="C13" s="48" t="s">
        <v>77</v>
      </c>
      <c r="D13" s="56">
        <v>41939</v>
      </c>
      <c r="E13" s="31" t="s">
        <v>78</v>
      </c>
      <c r="F13" s="29" t="s">
        <v>79</v>
      </c>
      <c r="G13" s="32">
        <f>SUM(I13:K13)</f>
        <v>17023800</v>
      </c>
      <c r="H13" s="32">
        <f t="shared" si="14"/>
        <v>2660850</v>
      </c>
      <c r="I13" s="32">
        <f t="shared" si="11"/>
        <v>443475</v>
      </c>
      <c r="J13" s="32">
        <f t="shared" si="15"/>
        <v>147825</v>
      </c>
      <c r="K13" s="34">
        <f t="shared" si="12"/>
        <v>16432500</v>
      </c>
      <c r="L13" s="35">
        <f t="shared" si="0"/>
        <v>16432500</v>
      </c>
      <c r="M13" s="32"/>
      <c r="N13" s="35">
        <v>14782500</v>
      </c>
      <c r="O13" s="35">
        <v>0</v>
      </c>
      <c r="P13" s="32">
        <f t="shared" si="16"/>
        <v>1182600</v>
      </c>
      <c r="Q13" s="32">
        <f t="shared" si="1"/>
        <v>221737.5</v>
      </c>
      <c r="R13" s="32">
        <f t="shared" si="17"/>
        <v>147825</v>
      </c>
      <c r="S13" s="32">
        <v>9000000</v>
      </c>
      <c r="T13" s="32">
        <f t="shared" si="20"/>
        <v>4230337.5</v>
      </c>
      <c r="U13" s="36">
        <f>ROUND(IF(AND(0&lt;T13,T13&lt;=5000000),T13*0.05,IF(AND(5000000&lt;T13,T13&lt;=10000000),((5000000*5%)+(T13-5000000)*10%),IF(AND(10000000&lt;T13,T13&lt;=18000000),((5000000*5%)+(5000000*10%)+(T13-10000000)*15%),IF(AND(18000000&lt;T13,T13&lt;=32000000),((5000000*5%)+(5000000*10%)+(8000000*15%)+(T13-18000000)*20%),IF(AND(32000000&lt;T13,T13&lt;=52000000),((5000000*5%)+(5000000*10%)+(8000000*15%)+(14000000*20%)+(T13-32000000)*25%),IF(AND(52000000&lt;T13,T13&lt;=80000000),((5000000*5%)+(5000000*10%)+(8000000*15%)+(14000000*20%)+(20000000*25%)+(T13-52000000)*30%),IF(T13&gt;80000000,((5000000*5%)+(5000000*10%)+(8000000*15%)+(14000000*20%)+(20000000*25%)+(28000000*30%)+(T13-80000000)*35%),0))))))),0)</f>
        <v>211517</v>
      </c>
      <c r="V13" s="36"/>
      <c r="W13" s="36"/>
      <c r="X13" s="32">
        <v>650000</v>
      </c>
      <c r="Y13" s="32">
        <v>500000</v>
      </c>
      <c r="Z13" s="32">
        <v>500000</v>
      </c>
      <c r="AA13" s="37">
        <f t="shared" si="18"/>
        <v>14668820.5</v>
      </c>
      <c r="AB13" s="38">
        <f t="shared" si="21"/>
        <v>14668820.5</v>
      </c>
      <c r="AC13" s="38" t="s">
        <v>22</v>
      </c>
      <c r="AD13" s="39">
        <f t="shared" si="5"/>
        <v>16432500</v>
      </c>
      <c r="AE13" t="s">
        <v>68</v>
      </c>
      <c r="AF13" s="7">
        <f>SUBTOTAL(9,[1]Cuong!E29)</f>
        <v>14668820.499999998</v>
      </c>
      <c r="AG13" s="41" t="b">
        <f t="shared" si="6"/>
        <v>1</v>
      </c>
      <c r="AH13" s="42">
        <v>641</v>
      </c>
      <c r="AI13" s="41">
        <v>6615000</v>
      </c>
      <c r="AJ13" s="43">
        <f>M13-AD14</f>
        <v>-16432499.999999998</v>
      </c>
      <c r="AK13" s="43" t="e">
        <f>AE13-'[1]Salaries+Bonus'!AB21</f>
        <v>#VALUE!</v>
      </c>
      <c r="AL13" s="44" t="e">
        <f>AE13-'[1]Salaries Feb'!Z23</f>
        <v>#VALUE!</v>
      </c>
      <c r="AM13" s="44">
        <f>U13-'[1]Salaries+Bonus'!S21</f>
        <v>-1919983</v>
      </c>
      <c r="AN13" s="45"/>
      <c r="AO13" s="45">
        <f t="shared" si="8"/>
        <v>9000000</v>
      </c>
      <c r="AP13" s="26">
        <v>23</v>
      </c>
      <c r="AQ13" s="45">
        <f t="shared" si="9"/>
        <v>14668820.5</v>
      </c>
      <c r="AR13" s="59" t="s">
        <v>74</v>
      </c>
      <c r="AT13" s="38" t="s">
        <v>22</v>
      </c>
      <c r="AY13" s="46">
        <f>(SUBTOTAL(9,[1]Cuong!E29))</f>
        <v>14668820.499999998</v>
      </c>
      <c r="AZ13" s="19" t="b">
        <f t="shared" si="10"/>
        <v>1</v>
      </c>
    </row>
    <row r="14" spans="1:52" ht="15.95" customHeight="1">
      <c r="A14" s="27" t="s">
        <v>80</v>
      </c>
      <c r="B14" s="48" t="s">
        <v>81</v>
      </c>
      <c r="C14" s="48" t="s">
        <v>77</v>
      </c>
      <c r="D14" s="56">
        <v>42009</v>
      </c>
      <c r="E14" s="63" t="s">
        <v>82</v>
      </c>
      <c r="F14" s="64" t="s">
        <v>83</v>
      </c>
      <c r="G14" s="32">
        <f>SUM(H14:K14)</f>
        <v>19684649.999999996</v>
      </c>
      <c r="H14" s="32">
        <f t="shared" si="14"/>
        <v>2660849.9999999995</v>
      </c>
      <c r="I14" s="32">
        <f t="shared" si="11"/>
        <v>443474.99999999994</v>
      </c>
      <c r="J14" s="32">
        <f t="shared" si="15"/>
        <v>147824.99999999997</v>
      </c>
      <c r="K14" s="34">
        <f>SUM(N14:O14,X14:Z14)+M14</f>
        <v>16432499.999999998</v>
      </c>
      <c r="L14" s="35">
        <f t="shared" si="0"/>
        <v>16432499.999999998</v>
      </c>
      <c r="M14" s="32"/>
      <c r="N14" s="62">
        <f>SUBTOTAL(9,[1]Tanh!E18)</f>
        <v>14782499.999999998</v>
      </c>
      <c r="O14" s="35">
        <v>0</v>
      </c>
      <c r="P14" s="32">
        <f t="shared" si="16"/>
        <v>1182599.9999999998</v>
      </c>
      <c r="Q14" s="32">
        <f t="shared" si="1"/>
        <v>221737.49999999997</v>
      </c>
      <c r="R14" s="32">
        <f t="shared" si="17"/>
        <v>147824.99999999997</v>
      </c>
      <c r="S14" s="32">
        <v>12600000</v>
      </c>
      <c r="T14" s="32">
        <f t="shared" si="20"/>
        <v>630337.49999999814</v>
      </c>
      <c r="U14" s="36">
        <f>ROUND(IF(AND(0&lt;T14,T14&lt;=5000000),T14*0.05,IF(AND(5000000&lt;T14,T14&lt;=10000000),((5000000*5%)+(T14-5000000)*10%),IF(AND(10000000&lt;T14,T14&lt;=18000000),((5000000*5%)+(5000000*10%)+(T14-10000000)*15%),IF(AND(18000000&lt;T14,T14&lt;=32000000),((5000000*5%)+(5000000*10%)+(8000000*15%)+(T14-18000000)*20%),IF(AND(32000000&lt;T14,T14&lt;=52000000),((5000000*5%)+(5000000*10%)+(8000000*15%)+(14000000*20%)+(T14-32000000)*25%),IF(AND(52000000&lt;T14,T14&lt;=80000000),((5000000*5%)+(5000000*10%)+(8000000*15%)+(14000000*20%)+(20000000*25%)+(T14-52000000)*30%),IF(T14&gt;80000000,((5000000*5%)+(5000000*10%)+(8000000*15%)+(14000000*20%)+(20000000*25%)+(28000000*30%)+(T14-80000000)*35%),0))))))),0)</f>
        <v>31517</v>
      </c>
      <c r="V14" s="36">
        <v>0</v>
      </c>
      <c r="W14" s="36"/>
      <c r="X14" s="32">
        <v>650000</v>
      </c>
      <c r="Y14" s="32">
        <v>500000</v>
      </c>
      <c r="Z14" s="32">
        <v>500000</v>
      </c>
      <c r="AA14" s="65">
        <f t="shared" si="18"/>
        <v>14848820.499999998</v>
      </c>
      <c r="AB14" s="38">
        <f t="shared" si="21"/>
        <v>14848820.499999998</v>
      </c>
      <c r="AC14" s="38" t="s">
        <v>22</v>
      </c>
      <c r="AD14" s="39">
        <f t="shared" si="5"/>
        <v>16432499.999999998</v>
      </c>
      <c r="AE14" t="s">
        <v>68</v>
      </c>
      <c r="AF14" s="7">
        <f>SUBTOTAL(9,[1]Tanh!E29)</f>
        <v>14848819.999999998</v>
      </c>
      <c r="AG14" s="41" t="b">
        <f t="shared" si="6"/>
        <v>0</v>
      </c>
      <c r="AH14" s="42">
        <v>641</v>
      </c>
      <c r="AI14" s="41">
        <v>500000</v>
      </c>
      <c r="AJ14" s="43">
        <f>M14-AD15</f>
        <v>-15680000</v>
      </c>
      <c r="AK14" s="43" t="e">
        <f>AE14-'[1]Salaries+Bonus'!AB25</f>
        <v>#VALUE!</v>
      </c>
      <c r="AL14" s="44" t="e">
        <f>AE14-'[1]Salaries Feb'!Z27</f>
        <v>#VALUE!</v>
      </c>
      <c r="AM14" s="44">
        <f>U14-'[1]Salaries+Bonus'!S25</f>
        <v>-1318483</v>
      </c>
      <c r="AN14" s="45"/>
      <c r="AO14" s="45">
        <f t="shared" si="8"/>
        <v>12600000</v>
      </c>
      <c r="AP14" s="26">
        <v>23</v>
      </c>
      <c r="AQ14" s="45">
        <f t="shared" si="9"/>
        <v>14848820.499999998</v>
      </c>
      <c r="AR14" s="59" t="s">
        <v>74</v>
      </c>
      <c r="AT14" s="38" t="s">
        <v>22</v>
      </c>
      <c r="AY14" s="46">
        <f>SUBTOTAL(9,[1]Tanh!E29)</f>
        <v>14848819.999999998</v>
      </c>
      <c r="AZ14" s="19" t="b">
        <f t="shared" si="10"/>
        <v>0</v>
      </c>
    </row>
    <row r="15" spans="1:52" ht="15.95" customHeight="1">
      <c r="A15" s="27" t="s">
        <v>84</v>
      </c>
      <c r="B15" s="55" t="s">
        <v>85</v>
      </c>
      <c r="C15" s="48" t="s">
        <v>77</v>
      </c>
      <c r="D15" s="56">
        <v>41883</v>
      </c>
      <c r="E15" s="57" t="s">
        <v>86</v>
      </c>
      <c r="F15" s="58" t="s">
        <v>87</v>
      </c>
      <c r="G15" s="32">
        <f t="shared" si="19"/>
        <v>18766600</v>
      </c>
      <c r="H15" s="32">
        <f t="shared" si="14"/>
        <v>2525400</v>
      </c>
      <c r="I15" s="32">
        <f t="shared" si="11"/>
        <v>420900</v>
      </c>
      <c r="J15" s="32">
        <f t="shared" si="15"/>
        <v>140300</v>
      </c>
      <c r="K15" s="34">
        <f>SUM(N15:O15,X15:Z15)+M15</f>
        <v>15680000</v>
      </c>
      <c r="L15" s="35">
        <f t="shared" si="0"/>
        <v>15680000</v>
      </c>
      <c r="M15" s="32"/>
      <c r="N15" s="35">
        <v>14030000</v>
      </c>
      <c r="O15" s="35">
        <v>0</v>
      </c>
      <c r="P15" s="32">
        <f t="shared" si="16"/>
        <v>1122400</v>
      </c>
      <c r="Q15" s="32">
        <f t="shared" si="1"/>
        <v>210450</v>
      </c>
      <c r="R15" s="32">
        <f t="shared" si="17"/>
        <v>140300</v>
      </c>
      <c r="S15" s="32">
        <v>9000000</v>
      </c>
      <c r="T15" s="32">
        <f t="shared" si="20"/>
        <v>3556850</v>
      </c>
      <c r="U15" s="36">
        <f t="shared" ref="U15:U19" si="22">ROUND(IF(AND(0&lt;T15,T15&lt;=5000000),T15*0.05,IF(AND(5000000&lt;T15,T15&lt;=10000000),((5000000*5%)+(T15-5000000)*10%),IF(AND(10000000&lt;T15,T15&lt;=18000000),((5000000*5%)+(5000000*10%)+(T15-10000000)*15%),IF(AND(18000000&lt;T15,T15&lt;=32000000),((5000000*5%)+(5000000*10%)+(8000000*15%)+(T15-18000000)*20%),IF(AND(32000000&lt;T15,T15&lt;=52000000),((5000000*5%)+(5000000*10%)+(8000000*15%)+(14000000*20%)+(T15-32000000)*25%),IF(AND(52000000&lt;T15,T15&lt;=80000000),((5000000*5%)+(5000000*10%)+(8000000*15%)+(14000000*20%)+(20000000*25%)+(T15-52000000)*30%),IF(T15&gt;80000000,((5000000*5%)+(5000000*10%)+(8000000*15%)+(14000000*20%)+(20000000*25%)+(28000000*30%)+(T15-80000000)*35%),0))))))),0)</f>
        <v>177843</v>
      </c>
      <c r="V15" s="36"/>
      <c r="W15" s="36"/>
      <c r="X15" s="32">
        <v>650000</v>
      </c>
      <c r="Y15" s="32">
        <v>500000</v>
      </c>
      <c r="Z15" s="32">
        <v>500000</v>
      </c>
      <c r="AA15" s="47">
        <f t="shared" si="18"/>
        <v>14029007</v>
      </c>
      <c r="AB15" s="38">
        <f t="shared" si="21"/>
        <v>14029007</v>
      </c>
      <c r="AC15" s="38" t="s">
        <v>22</v>
      </c>
      <c r="AD15" s="39">
        <f t="shared" si="5"/>
        <v>15680000</v>
      </c>
      <c r="AE15"/>
      <c r="AF15" s="7">
        <f>SUBTOTAL(9,[1]Giang!E29)</f>
        <v>14029007</v>
      </c>
      <c r="AG15" s="41" t="b">
        <f t="shared" si="6"/>
        <v>1</v>
      </c>
      <c r="AH15" s="42">
        <v>641</v>
      </c>
      <c r="AI15" s="41">
        <v>4899250</v>
      </c>
      <c r="AJ15" s="43">
        <f>M15-AD16</f>
        <v>-11337375</v>
      </c>
      <c r="AK15" s="43">
        <f>AE15-'[1]Salaries+Bonus'!AB9</f>
        <v>-9596112</v>
      </c>
      <c r="AL15" s="44">
        <f>AE15-'[1]Salaries Feb'!Z11</f>
        <v>-9798500</v>
      </c>
      <c r="AM15" s="44">
        <f>U15-'[1]Salaries+Bonus'!S9</f>
        <v>-24545</v>
      </c>
      <c r="AN15" s="45">
        <f t="shared" si="13"/>
        <v>9000000</v>
      </c>
      <c r="AO15" s="45">
        <f t="shared" si="8"/>
        <v>0</v>
      </c>
      <c r="AP15" s="26">
        <v>23</v>
      </c>
      <c r="AQ15" s="45">
        <f t="shared" si="9"/>
        <v>14029007</v>
      </c>
      <c r="AR15" s="59" t="s">
        <v>74</v>
      </c>
      <c r="AT15" s="38" t="s">
        <v>22</v>
      </c>
      <c r="AY15" s="46">
        <f>SUBTOTAL(9,[1]Giang!E29)</f>
        <v>14029007</v>
      </c>
      <c r="AZ15" s="19" t="b">
        <f t="shared" si="10"/>
        <v>1</v>
      </c>
    </row>
    <row r="16" spans="1:52" ht="15.95" customHeight="1">
      <c r="A16" s="27" t="s">
        <v>88</v>
      </c>
      <c r="B16" s="28" t="s">
        <v>89</v>
      </c>
      <c r="C16" s="48" t="s">
        <v>77</v>
      </c>
      <c r="D16" s="56">
        <v>41932</v>
      </c>
      <c r="E16" s="31" t="s">
        <v>90</v>
      </c>
      <c r="F16" s="29" t="s">
        <v>91</v>
      </c>
      <c r="G16" s="32">
        <f>SUM(H16:K16)</f>
        <v>13468597.5</v>
      </c>
      <c r="H16" s="32">
        <f>N16*18%</f>
        <v>1743727.5</v>
      </c>
      <c r="I16" s="32">
        <f>N16*3%</f>
        <v>290621.25</v>
      </c>
      <c r="J16" s="32">
        <f>N16*1%</f>
        <v>96873.75</v>
      </c>
      <c r="K16" s="34">
        <f t="shared" si="12"/>
        <v>11337375</v>
      </c>
      <c r="L16" s="35">
        <f t="shared" si="0"/>
        <v>11337375</v>
      </c>
      <c r="M16" s="32"/>
      <c r="N16" s="35">
        <v>9687375</v>
      </c>
      <c r="O16" s="35">
        <v>0</v>
      </c>
      <c r="P16" s="32">
        <f>N16*8%</f>
        <v>774990</v>
      </c>
      <c r="Q16" s="32">
        <f>N16*1.5%</f>
        <v>145310.625</v>
      </c>
      <c r="R16" s="32">
        <f>N16*1%</f>
        <v>96873.75</v>
      </c>
      <c r="S16" s="32">
        <v>9000000</v>
      </c>
      <c r="T16" s="32">
        <f t="shared" si="20"/>
        <v>0</v>
      </c>
      <c r="U16" s="36">
        <f>ROUND(IF(AND(0&lt;T16,T16&lt;=5000000),T16*0.05,IF(AND(5000000&lt;T16,T16&lt;=10000000),((5000000*5%)+(T16-5000000)*10%),IF(AND(10000000&lt;T16,T16&lt;=18000000),((5000000*5%)+(5000000*10%)+(T16-10000000)*15%),IF(AND(18000000&lt;T16,T16&lt;=32000000),((5000000*5%)+(5000000*10%)+(8000000*15%)+(T16-18000000)*20%),IF(AND(32000000&lt;T16,T16&lt;=52000000),((5000000*5%)+(5000000*10%)+(8000000*15%)+(14000000*20%)+(T16-32000000)*25%),IF(AND(52000000&lt;T16,T16&lt;=80000000),((5000000*5%)+(5000000*10%)+(8000000*15%)+(14000000*20%)+(20000000*25%)+(T16-52000000)*30%),IF(T16&gt;80000000,((5000000*5%)+(5000000*10%)+(8000000*15%)+(14000000*20%)+(20000000*25%)+(28000000*30%)+(T16-80000000)*35%),0))))))),0)</f>
        <v>0</v>
      </c>
      <c r="V16" s="36"/>
      <c r="W16" s="36"/>
      <c r="X16" s="32">
        <v>650000</v>
      </c>
      <c r="Y16" s="32">
        <v>500000</v>
      </c>
      <c r="Z16" s="32">
        <v>500000</v>
      </c>
      <c r="AA16" s="47">
        <f t="shared" si="18"/>
        <v>10320200.625</v>
      </c>
      <c r="AB16" s="38">
        <f t="shared" si="21"/>
        <v>10320200.625</v>
      </c>
      <c r="AC16" s="32" t="s">
        <v>22</v>
      </c>
      <c r="AD16" s="39">
        <f t="shared" si="5"/>
        <v>11337375</v>
      </c>
      <c r="AE16" t="s">
        <v>68</v>
      </c>
      <c r="AF16" s="7">
        <f>SUBTOTAL(9,[1]Trang!E29)</f>
        <v>10320200.625</v>
      </c>
      <c r="AG16" s="41" t="b">
        <f t="shared" si="6"/>
        <v>1</v>
      </c>
      <c r="AH16" s="42">
        <v>641</v>
      </c>
      <c r="AI16" s="41">
        <v>4200000</v>
      </c>
      <c r="AJ16" s="43">
        <f>M16-AD17</f>
        <v>-16800000</v>
      </c>
      <c r="AK16" s="43" t="e">
        <f>AE16-'[1]Salaries+Bonus'!AB22</f>
        <v>#VALUE!</v>
      </c>
      <c r="AL16" s="44" t="e">
        <f>AE16-'[1]Salaries Feb'!Z24</f>
        <v>#VALUE!</v>
      </c>
      <c r="AM16" s="44">
        <f>U16-'[1]Salaries+Bonus'!S22</f>
        <v>-184622</v>
      </c>
      <c r="AN16" s="45">
        <f t="shared" si="13"/>
        <v>9000000</v>
      </c>
      <c r="AO16" s="45">
        <f t="shared" si="8"/>
        <v>0</v>
      </c>
      <c r="AP16" s="26">
        <v>23</v>
      </c>
      <c r="AQ16" s="45">
        <f t="shared" si="9"/>
        <v>10320200.625</v>
      </c>
      <c r="AR16" s="59" t="s">
        <v>74</v>
      </c>
      <c r="AT16" s="32" t="s">
        <v>22</v>
      </c>
      <c r="AY16" s="46">
        <f>SUBTOTAL(9,[1]Trang!E29)</f>
        <v>10320200.625</v>
      </c>
      <c r="AZ16" s="19" t="b">
        <f t="shared" si="10"/>
        <v>1</v>
      </c>
    </row>
    <row r="17" spans="1:52" ht="15.95" customHeight="1">
      <c r="A17" s="27" t="s">
        <v>92</v>
      </c>
      <c r="B17" s="28" t="s">
        <v>93</v>
      </c>
      <c r="C17" s="48" t="s">
        <v>94</v>
      </c>
      <c r="D17" s="56">
        <v>41816</v>
      </c>
      <c r="E17" s="31" t="s">
        <v>95</v>
      </c>
      <c r="F17" s="29" t="s">
        <v>96</v>
      </c>
      <c r="G17" s="32">
        <f>SUM(H17:K17)</f>
        <v>20265000</v>
      </c>
      <c r="H17" s="32">
        <f>N17*18%</f>
        <v>2835000</v>
      </c>
      <c r="I17" s="32">
        <f>N17*3%</f>
        <v>472500</v>
      </c>
      <c r="J17" s="32">
        <f>N17*1%</f>
        <v>157500</v>
      </c>
      <c r="K17" s="34">
        <f>SUM(N17:O17,X17:Z17)+M17</f>
        <v>16800000</v>
      </c>
      <c r="L17" s="35">
        <f t="shared" si="0"/>
        <v>16800000</v>
      </c>
      <c r="M17" s="32"/>
      <c r="N17" s="35">
        <v>15750000</v>
      </c>
      <c r="O17" s="35">
        <v>0</v>
      </c>
      <c r="P17" s="32">
        <f>N17*8%</f>
        <v>1260000</v>
      </c>
      <c r="Q17" s="32">
        <f>N17*1.5%</f>
        <v>236250</v>
      </c>
      <c r="R17" s="32">
        <f>N17*1%</f>
        <v>157500</v>
      </c>
      <c r="S17" s="32">
        <v>9000000</v>
      </c>
      <c r="T17" s="32">
        <f t="shared" si="20"/>
        <v>5096250</v>
      </c>
      <c r="U17" s="36">
        <f>ROUND(IF(AND(0&lt;T17,T17&lt;=5000000),T17*0.05,IF(AND(5000000&lt;T17,T17&lt;=10000000),((5000000*5%)+(T17-5000000)*10%),IF(AND(10000000&lt;T17,T17&lt;=18000000),((5000000*5%)+(5000000*10%)+(T17-10000000)*15%),IF(AND(18000000&lt;T17,T17&lt;=32000000),((5000000*5%)+(5000000*10%)+(8000000*15%)+(T17-18000000)*20%),IF(AND(32000000&lt;T17,T17&lt;=52000000),((5000000*5%)+(5000000*10%)+(8000000*15%)+(14000000*20%)+(T17-32000000)*25%),IF(AND(52000000&lt;T17,T17&lt;=80000000),((5000000*5%)+(5000000*10%)+(8000000*15%)+(14000000*20%)+(20000000*25%)+(T17-52000000)*30%),IF(T17&gt;80000000,((5000000*5%)+(5000000*10%)+(8000000*15%)+(14000000*20%)+(20000000*25%)+(28000000*30%)+(T17-80000000)*35%),0))))))),0)</f>
        <v>259625</v>
      </c>
      <c r="V17" s="36"/>
      <c r="W17" s="36"/>
      <c r="X17" s="32">
        <v>650000</v>
      </c>
      <c r="Y17" s="32">
        <v>200000</v>
      </c>
      <c r="Z17" s="32">
        <v>200000</v>
      </c>
      <c r="AA17" s="47">
        <f t="shared" si="18"/>
        <v>14886625</v>
      </c>
      <c r="AB17" s="38">
        <f t="shared" si="21"/>
        <v>14886625</v>
      </c>
      <c r="AC17" s="38" t="s">
        <v>43</v>
      </c>
      <c r="AD17" s="39">
        <f t="shared" si="5"/>
        <v>16800000</v>
      </c>
      <c r="AE17"/>
      <c r="AF17" s="7">
        <f>SUBTOTAL(9,'[1]Oanh (2)'!E29)</f>
        <v>14886625</v>
      </c>
      <c r="AG17" s="41" t="b">
        <f t="shared" si="6"/>
        <v>1</v>
      </c>
      <c r="AH17" s="42">
        <v>641</v>
      </c>
      <c r="AI17" s="41">
        <v>4994750</v>
      </c>
      <c r="AJ17" s="43">
        <f>M17-AD18</f>
        <v>-10080000</v>
      </c>
      <c r="AK17" s="43">
        <f>AE17-'[1]Salaries+Bonus'!AB20</f>
        <v>-9742787</v>
      </c>
      <c r="AL17" s="44">
        <f>AE17-'[1]Salaries Feb'!Z22</f>
        <v>-9989500</v>
      </c>
      <c r="AM17" s="44">
        <f>U17-'[1]Salaries+Bonus'!S20</f>
        <v>12912</v>
      </c>
      <c r="AN17" s="45">
        <f t="shared" si="13"/>
        <v>9000000</v>
      </c>
      <c r="AO17" s="45">
        <f t="shared" si="8"/>
        <v>0</v>
      </c>
      <c r="AP17" s="26">
        <v>23</v>
      </c>
      <c r="AQ17" s="45">
        <f t="shared" si="9"/>
        <v>14886625</v>
      </c>
      <c r="AR17" s="59" t="s">
        <v>97</v>
      </c>
      <c r="AT17" s="38" t="s">
        <v>43</v>
      </c>
      <c r="AY17" s="46">
        <f>SUBTOTAL(9,'[1]Oanh (2)'!E29)</f>
        <v>14886625</v>
      </c>
      <c r="AZ17" s="19" t="b">
        <f t="shared" si="10"/>
        <v>1</v>
      </c>
    </row>
    <row r="18" spans="1:52" ht="15" customHeight="1">
      <c r="A18" s="27" t="s">
        <v>98</v>
      </c>
      <c r="B18" s="55" t="s">
        <v>99</v>
      </c>
      <c r="C18" s="48" t="s">
        <v>94</v>
      </c>
      <c r="D18" s="56">
        <v>41904</v>
      </c>
      <c r="E18" s="57" t="s">
        <v>100</v>
      </c>
      <c r="F18" s="58" t="s">
        <v>101</v>
      </c>
      <c r="G18" s="32">
        <f t="shared" si="19"/>
        <v>12066600</v>
      </c>
      <c r="H18" s="32">
        <f t="shared" si="14"/>
        <v>1625400</v>
      </c>
      <c r="I18" s="32">
        <f t="shared" si="11"/>
        <v>270900</v>
      </c>
      <c r="J18" s="32">
        <f t="shared" si="15"/>
        <v>90300</v>
      </c>
      <c r="K18" s="34">
        <f>SUM(N18:O18,X18:Z18)+M18</f>
        <v>10080000</v>
      </c>
      <c r="L18" s="35">
        <f t="shared" si="0"/>
        <v>10080000</v>
      </c>
      <c r="M18" s="32"/>
      <c r="N18" s="35">
        <v>9030000</v>
      </c>
      <c r="O18" s="35">
        <v>0</v>
      </c>
      <c r="P18" s="32">
        <f t="shared" si="16"/>
        <v>722400</v>
      </c>
      <c r="Q18" s="32">
        <f t="shared" si="1"/>
        <v>135450</v>
      </c>
      <c r="R18" s="32">
        <f t="shared" si="17"/>
        <v>90300</v>
      </c>
      <c r="S18" s="32">
        <v>9000000</v>
      </c>
      <c r="T18" s="32">
        <f t="shared" si="20"/>
        <v>0</v>
      </c>
      <c r="U18" s="36">
        <f t="shared" si="22"/>
        <v>0</v>
      </c>
      <c r="V18" s="36"/>
      <c r="W18" s="36"/>
      <c r="X18" s="32">
        <v>650000</v>
      </c>
      <c r="Y18" s="32">
        <v>200000</v>
      </c>
      <c r="Z18" s="32">
        <v>200000</v>
      </c>
      <c r="AA18" s="47">
        <f t="shared" si="18"/>
        <v>9131850</v>
      </c>
      <c r="AB18" s="38">
        <f t="shared" si="21"/>
        <v>9131850</v>
      </c>
      <c r="AC18" s="38" t="s">
        <v>43</v>
      </c>
      <c r="AD18" s="39">
        <f t="shared" si="5"/>
        <v>10080000</v>
      </c>
      <c r="AE18" t="s">
        <v>68</v>
      </c>
      <c r="AF18" s="7">
        <f>SUBTOTAL(9,'[1]X.Mai (2)'!E29)</f>
        <v>9131850</v>
      </c>
      <c r="AG18" s="41" t="b">
        <f t="shared" si="6"/>
        <v>1</v>
      </c>
      <c r="AH18" s="42">
        <v>641</v>
      </c>
      <c r="AI18" s="41">
        <v>3841250</v>
      </c>
      <c r="AJ18" s="43" t="e">
        <f>M18-#REF!</f>
        <v>#REF!</v>
      </c>
      <c r="AK18" s="43" t="e">
        <f>AE18-'[1]Salaries+Bonus'!AB10</f>
        <v>#VALUE!</v>
      </c>
      <c r="AL18" s="44" t="e">
        <f>AE18-'[1]Salaries Feb'!Z12</f>
        <v>#VALUE!</v>
      </c>
      <c r="AM18" s="44">
        <f>U18-'[1]Salaries+Bonus'!S10</f>
        <v>-73688</v>
      </c>
      <c r="AN18" s="45">
        <f t="shared" si="13"/>
        <v>9000000</v>
      </c>
      <c r="AO18" s="45">
        <f t="shared" si="8"/>
        <v>0</v>
      </c>
      <c r="AP18" s="26">
        <v>23</v>
      </c>
      <c r="AQ18" s="45">
        <f t="shared" si="9"/>
        <v>9131850</v>
      </c>
      <c r="AR18" s="59" t="s">
        <v>97</v>
      </c>
      <c r="AT18" s="38" t="s">
        <v>43</v>
      </c>
      <c r="AY18" s="46">
        <f>SUBTOTAL(9,'[1]X.Mai (2)'!E29)</f>
        <v>9131850</v>
      </c>
      <c r="AZ18" s="19" t="b">
        <f t="shared" si="10"/>
        <v>1</v>
      </c>
    </row>
    <row r="19" spans="1:52" ht="15.95" customHeight="1">
      <c r="A19" s="27" t="s">
        <v>102</v>
      </c>
      <c r="B19" s="55" t="s">
        <v>103</v>
      </c>
      <c r="C19" s="48" t="s">
        <v>104</v>
      </c>
      <c r="D19" s="56">
        <v>41904</v>
      </c>
      <c r="E19" s="57" t="s">
        <v>105</v>
      </c>
      <c r="F19" s="55" t="s">
        <v>106</v>
      </c>
      <c r="G19" s="32">
        <f t="shared" si="19"/>
        <v>10017000</v>
      </c>
      <c r="H19" s="32">
        <f t="shared" si="14"/>
        <v>1323000</v>
      </c>
      <c r="I19" s="32">
        <f t="shared" si="11"/>
        <v>220500</v>
      </c>
      <c r="J19" s="32">
        <f t="shared" si="15"/>
        <v>73500</v>
      </c>
      <c r="K19" s="34">
        <f t="shared" si="12"/>
        <v>8400000</v>
      </c>
      <c r="L19" s="35">
        <f t="shared" si="0"/>
        <v>8400000</v>
      </c>
      <c r="M19" s="32"/>
      <c r="N19" s="66">
        <v>7350000</v>
      </c>
      <c r="O19" s="35"/>
      <c r="P19" s="32">
        <f t="shared" si="16"/>
        <v>588000</v>
      </c>
      <c r="Q19" s="32">
        <f t="shared" si="1"/>
        <v>110250</v>
      </c>
      <c r="R19" s="32">
        <f t="shared" si="17"/>
        <v>73500</v>
      </c>
      <c r="S19" s="32">
        <v>9000000</v>
      </c>
      <c r="T19" s="32">
        <f t="shared" si="20"/>
        <v>0</v>
      </c>
      <c r="U19" s="36">
        <f t="shared" si="22"/>
        <v>0</v>
      </c>
      <c r="V19" s="36"/>
      <c r="W19" s="36"/>
      <c r="X19" s="32">
        <v>650000</v>
      </c>
      <c r="Y19" s="32">
        <v>200000</v>
      </c>
      <c r="Z19" s="32">
        <v>200000</v>
      </c>
      <c r="AA19" s="47">
        <f t="shared" si="18"/>
        <v>7628250</v>
      </c>
      <c r="AB19" s="38">
        <f t="shared" si="21"/>
        <v>7628250</v>
      </c>
      <c r="AC19" s="38" t="s">
        <v>22</v>
      </c>
      <c r="AD19" s="39">
        <f t="shared" si="5"/>
        <v>8400000</v>
      </c>
      <c r="AE19" t="s">
        <v>68</v>
      </c>
      <c r="AF19" s="7">
        <f>SUBTOTAL(9,'[1]Phuong (2)'!E29)</f>
        <v>7628250</v>
      </c>
      <c r="AG19" s="41" t="b">
        <f t="shared" si="6"/>
        <v>1</v>
      </c>
      <c r="AH19" s="42">
        <v>641</v>
      </c>
      <c r="AI19" s="41">
        <v>2867500</v>
      </c>
      <c r="AJ19" s="43">
        <f>M19-AD20</f>
        <v>-28364875</v>
      </c>
      <c r="AK19" s="43" t="e">
        <f>AE19-'[1]Salaries+Bonus'!AB11</f>
        <v>#VALUE!</v>
      </c>
      <c r="AL19" s="44" t="e">
        <f>AE19-'[1]Salaries Feb'!Z13</f>
        <v>#VALUE!</v>
      </c>
      <c r="AM19" s="44">
        <f>U19-'[1]Salaries+Bonus'!S11</f>
        <v>0</v>
      </c>
      <c r="AN19" s="45">
        <f t="shared" si="13"/>
        <v>9000000</v>
      </c>
      <c r="AO19" s="45">
        <f t="shared" si="8"/>
        <v>0</v>
      </c>
      <c r="AP19" s="26">
        <v>23</v>
      </c>
      <c r="AQ19" s="45">
        <f t="shared" si="9"/>
        <v>7628250</v>
      </c>
      <c r="AR19" s="59" t="s">
        <v>107</v>
      </c>
      <c r="AT19" s="38" t="s">
        <v>22</v>
      </c>
      <c r="AY19" s="46">
        <f>SUBTOTAL(9,'[1]Phuong (2)'!E29)</f>
        <v>7628250</v>
      </c>
      <c r="AZ19" s="19" t="b">
        <f t="shared" si="10"/>
        <v>1</v>
      </c>
    </row>
    <row r="20" spans="1:52" ht="15.95" customHeight="1">
      <c r="A20" s="27" t="s">
        <v>108</v>
      </c>
      <c r="B20" s="28" t="s">
        <v>109</v>
      </c>
      <c r="C20" s="48" t="s">
        <v>110</v>
      </c>
      <c r="D20" s="56">
        <v>42086</v>
      </c>
      <c r="E20" s="31" t="s">
        <v>111</v>
      </c>
      <c r="F20" s="29" t="s">
        <v>112</v>
      </c>
      <c r="G20" s="32">
        <f>SUM(H20:K20)</f>
        <v>33424875</v>
      </c>
      <c r="H20" s="32">
        <f t="shared" si="14"/>
        <v>4140000</v>
      </c>
      <c r="I20" s="32">
        <f t="shared" si="11"/>
        <v>690000</v>
      </c>
      <c r="J20" s="32">
        <f t="shared" si="15"/>
        <v>230000</v>
      </c>
      <c r="K20" s="34">
        <f t="shared" si="12"/>
        <v>28364875</v>
      </c>
      <c r="L20" s="35">
        <f t="shared" si="0"/>
        <v>28364875</v>
      </c>
      <c r="M20" s="32"/>
      <c r="N20" s="67">
        <v>23000000</v>
      </c>
      <c r="O20" s="35">
        <v>4314875</v>
      </c>
      <c r="P20" s="32">
        <f>N20*8%</f>
        <v>1840000</v>
      </c>
      <c r="Q20" s="32">
        <f t="shared" si="1"/>
        <v>345000</v>
      </c>
      <c r="R20" s="32">
        <f t="shared" si="17"/>
        <v>230000</v>
      </c>
      <c r="S20" s="32">
        <f>19800000+3600000</f>
        <v>23400000</v>
      </c>
      <c r="T20" s="32">
        <f t="shared" si="20"/>
        <v>1499875</v>
      </c>
      <c r="U20" s="36">
        <f>ROUND(IF(AND(0&lt;T20,T20&lt;=5000000),T20*0.05,IF(AND(5000000&lt;T20,T20&lt;=10000000),((5000000*5%)+(T20-5000000)*10%),IF(AND(10000000&lt;T20,T20&lt;=18000000),((5000000*5%)+(5000000*10%)+(T20-10000000)*15%),IF(AND(18000000&lt;T20,T20&lt;=32000000),((5000000*5%)+(5000000*10%)+(8000000*15%)+(T20-18000000)*20%),IF(AND(32000000&lt;T20,T20&lt;=52000000),((5000000*5%)+(5000000*10%)+(8000000*15%)+(14000000*20%)+(T20-32000000)*25%),IF(AND(52000000&lt;T20,T20&lt;=80000000),((5000000*5%)+(5000000*10%)+(8000000*15%)+(14000000*20%)+(20000000*25%)+(T20-52000000)*30%),IF(T20&gt;80000000,((5000000*5%)+(5000000*10%)+(8000000*15%)+(14000000*20%)+(20000000*25%)+(28000000*30%)+(T20-80000000)*35%),0))))))),0)</f>
        <v>74994</v>
      </c>
      <c r="V20" s="36"/>
      <c r="W20" s="36"/>
      <c r="X20" s="32">
        <v>650000</v>
      </c>
      <c r="Y20" s="32">
        <v>200000</v>
      </c>
      <c r="Z20" s="32">
        <v>200000</v>
      </c>
      <c r="AA20" s="47">
        <f>M20+N20+O20-P20-Q20-R20-U20++X20+Y20+Z20+V20+W20</f>
        <v>25874881</v>
      </c>
      <c r="AB20" s="38">
        <f>AA20</f>
        <v>25874881</v>
      </c>
      <c r="AC20" s="38" t="s">
        <v>43</v>
      </c>
      <c r="AD20" s="39">
        <f t="shared" si="5"/>
        <v>28364875</v>
      </c>
      <c r="AE20"/>
      <c r="AF20" s="7">
        <f>SUBTOTAL(9,[1]Thuy!E29)</f>
        <v>25874881</v>
      </c>
      <c r="AG20" s="41" t="b">
        <f t="shared" si="6"/>
        <v>1</v>
      </c>
      <c r="AH20" s="42"/>
      <c r="AI20" s="41"/>
      <c r="AJ20" s="68"/>
      <c r="AK20" s="68"/>
      <c r="AL20" s="69"/>
      <c r="AM20" s="69"/>
      <c r="AP20" s="26">
        <v>23</v>
      </c>
      <c r="AQ20" s="45">
        <f t="shared" si="9"/>
        <v>25874881</v>
      </c>
      <c r="AR20" s="59" t="s">
        <v>113</v>
      </c>
      <c r="AT20" s="38" t="s">
        <v>43</v>
      </c>
      <c r="AY20" s="46">
        <f>SUBTOTAL(9,[1]Thuy!E29)</f>
        <v>25874881</v>
      </c>
      <c r="AZ20" s="19" t="b">
        <f t="shared" si="10"/>
        <v>1</v>
      </c>
    </row>
    <row r="21" spans="1:52" ht="15.95" customHeight="1">
      <c r="A21" s="27" t="s">
        <v>114</v>
      </c>
      <c r="B21" s="28" t="s">
        <v>115</v>
      </c>
      <c r="C21" s="48" t="s">
        <v>116</v>
      </c>
      <c r="D21" s="56">
        <v>42023</v>
      </c>
      <c r="E21" s="31" t="s">
        <v>117</v>
      </c>
      <c r="F21" s="29" t="s">
        <v>118</v>
      </c>
      <c r="G21" s="32">
        <f>SUM(H21:K21)</f>
        <v>6784000</v>
      </c>
      <c r="H21" s="32">
        <f>(N21*18%)</f>
        <v>846000</v>
      </c>
      <c r="I21" s="32">
        <f>(N21*3%)</f>
        <v>141000</v>
      </c>
      <c r="J21" s="32">
        <f>(N21*1%)</f>
        <v>47000</v>
      </c>
      <c r="K21" s="34">
        <f t="shared" si="12"/>
        <v>5750000</v>
      </c>
      <c r="L21" s="35">
        <f t="shared" si="0"/>
        <v>5750000</v>
      </c>
      <c r="M21" s="32"/>
      <c r="N21" s="35">
        <v>4700000</v>
      </c>
      <c r="O21" s="35">
        <v>0</v>
      </c>
      <c r="P21" s="32">
        <f>(N21*8%)</f>
        <v>376000</v>
      </c>
      <c r="Q21" s="32">
        <f>(N21*1.5%)</f>
        <v>70500</v>
      </c>
      <c r="R21" s="32">
        <f>(N21*1%)</f>
        <v>47000</v>
      </c>
      <c r="S21" s="32">
        <v>9000000</v>
      </c>
      <c r="T21" s="32">
        <f t="shared" si="20"/>
        <v>0</v>
      </c>
      <c r="U21" s="61">
        <f>ROUND(IF(AND(0&lt;T21,T21&lt;=5000000),T21*0.05,IF(AND(5000000&lt;T21,T21&lt;=10000000),((5000000*5%)+(T21-5000000)*10%),IF(AND(10000000&lt;T21,T21&lt;=18000000),((5000000*5%)+(5000000*10%)+(T21-10000000)*15%),IF(AND(18000000&lt;T21,T21&lt;=32000000),((5000000*5%)+(5000000*10%)+(8000000*15%)+(T21-18000000)*20%),IF(AND(32000000&lt;T21,T21&lt;=52000000),((5000000*5%)+(5000000*10%)+(8000000*15%)+(14000000*20%)+(T21-32000000)*25%),IF(AND(52000000&lt;T21,T21&lt;=80000000),((5000000*5%)+(5000000*10%)+(8000000*15%)+(14000000*20%)+(20000000*25%)+(T21-52000000)*30%),IF(T21&gt;80000000,((5000000*5%)+(5000000*10%)+(8000000*15%)+(14000000*20%)+(20000000*25%)+(28000000*30%)+(T21-80000000)*35%),0))))))),0)</f>
        <v>0</v>
      </c>
      <c r="V21" s="36"/>
      <c r="W21" s="36"/>
      <c r="X21" s="32">
        <v>650000</v>
      </c>
      <c r="Y21" s="32">
        <v>200000</v>
      </c>
      <c r="Z21" s="32">
        <v>200000</v>
      </c>
      <c r="AA21" s="47">
        <f t="shared" ref="AA21:AA25" si="23">M21+N21+O21-P21-Q21-R21-U21++X21+Y21+Z21+V21+W21</f>
        <v>5256500</v>
      </c>
      <c r="AB21" s="38">
        <f>AA21</f>
        <v>5256500</v>
      </c>
      <c r="AC21" s="38" t="s">
        <v>43</v>
      </c>
      <c r="AD21" s="39">
        <f t="shared" si="5"/>
        <v>5750000</v>
      </c>
      <c r="AE21" t="s">
        <v>68</v>
      </c>
      <c r="AF21" s="7">
        <f>SUBTOTAL(9,'[1]Ni (2)'!E29)</f>
        <v>5256500</v>
      </c>
      <c r="AG21" s="41" t="b">
        <f t="shared" si="6"/>
        <v>1</v>
      </c>
      <c r="AH21" s="42">
        <v>642</v>
      </c>
      <c r="AI21" s="41">
        <v>500000</v>
      </c>
      <c r="AJ21" s="43">
        <f>M21-AD22</f>
        <v>-6730791</v>
      </c>
      <c r="AK21" s="43" t="e">
        <f>AE21-'[1]Salaries+Bonus'!AB24</f>
        <v>#VALUE!</v>
      </c>
      <c r="AL21" s="44" t="e">
        <f>AE21-'[1]Salaries Feb'!Z26</f>
        <v>#VALUE!</v>
      </c>
      <c r="AM21" s="44">
        <f>U21-'[1]Salaries+Bonus'!S24</f>
        <v>0</v>
      </c>
      <c r="AP21" s="26">
        <v>23</v>
      </c>
      <c r="AQ21" s="45">
        <f t="shared" si="9"/>
        <v>5256500</v>
      </c>
      <c r="AR21" s="59" t="s">
        <v>113</v>
      </c>
      <c r="AT21" s="38" t="s">
        <v>43</v>
      </c>
      <c r="AY21" s="46">
        <f>SUBTOTAL(9,'[1]Ni (2)'!E29)</f>
        <v>5256500</v>
      </c>
      <c r="AZ21" s="19" t="b">
        <f t="shared" si="10"/>
        <v>1</v>
      </c>
    </row>
    <row r="22" spans="1:52" ht="15.95" customHeight="1">
      <c r="A22" s="27" t="s">
        <v>119</v>
      </c>
      <c r="B22" s="28" t="s">
        <v>120</v>
      </c>
      <c r="C22" s="48" t="s">
        <v>121</v>
      </c>
      <c r="D22" s="56">
        <v>42044</v>
      </c>
      <c r="E22" s="31" t="s">
        <v>122</v>
      </c>
      <c r="F22" s="29" t="s">
        <v>123</v>
      </c>
      <c r="G22" s="32">
        <f>SUM(H22:K22)</f>
        <v>8002565.0199999996</v>
      </c>
      <c r="H22" s="32">
        <f t="shared" si="14"/>
        <v>1040542.38</v>
      </c>
      <c r="I22" s="32">
        <f t="shared" ref="I22:I25" si="24">N22*3%</f>
        <v>173423.72999999998</v>
      </c>
      <c r="J22" s="32">
        <f t="shared" ref="J22:J25" si="25">N22*1%</f>
        <v>57807.91</v>
      </c>
      <c r="K22" s="34">
        <f t="shared" si="12"/>
        <v>6730791</v>
      </c>
      <c r="L22" s="35">
        <f t="shared" si="0"/>
        <v>6730791</v>
      </c>
      <c r="M22" s="32"/>
      <c r="N22" s="66">
        <v>5780791</v>
      </c>
      <c r="O22" s="66">
        <v>0</v>
      </c>
      <c r="P22" s="32">
        <f t="shared" ref="P22:P25" si="26">N22*8%</f>
        <v>462463.28</v>
      </c>
      <c r="Q22" s="32">
        <f t="shared" ref="Q22:Q25" si="27">N22*1.5%</f>
        <v>86711.864999999991</v>
      </c>
      <c r="R22" s="32">
        <f t="shared" ref="R22:R25" si="28">N22*1%</f>
        <v>57807.91</v>
      </c>
      <c r="S22" s="32">
        <v>9000000</v>
      </c>
      <c r="T22" s="32">
        <f t="shared" si="20"/>
        <v>0</v>
      </c>
      <c r="U22" s="36">
        <f>ROUND(IF(AND(0&lt;T22,T22&lt;=5000000),T22*0.05,IF(AND(5000000&lt;T22,T22&lt;=10000000),((5000000*5%)+(T22-5000000)*10%),IF(AND(10000000&lt;T22,T22&lt;=18000000),((5000000*5%)+(5000000*10%)+(T22-10000000)*15%),IF(AND(18000000&lt;T22,T22&lt;=32000000),((5000000*5%)+(5000000*10%)+(8000000*15%)+(T22-18000000)*20%),IF(AND(32000000&lt;T22,T22&lt;=52000000),((5000000*5%)+(5000000*10%)+(8000000*15%)+(14000000*20%)+(T22-32000000)*25%),IF(AND(52000000&lt;T22,T22&lt;=80000000),((5000000*5%)+(5000000*10%)+(8000000*15%)+(14000000*20%)+(20000000*25%)+(T22-52000000)*30%),IF(T22&gt;80000000,((5000000*5%)+(5000000*10%)+(8000000*15%)+(14000000*20%)+(20000000*25%)+(28000000*30%)+(T22-80000000)*35%),0))))))),0)</f>
        <v>0</v>
      </c>
      <c r="V22" s="36"/>
      <c r="W22" s="36"/>
      <c r="X22" s="32">
        <v>650000</v>
      </c>
      <c r="Y22" s="32"/>
      <c r="Z22" s="32">
        <v>300000</v>
      </c>
      <c r="AA22" s="47">
        <f t="shared" si="23"/>
        <v>6123807.9449999994</v>
      </c>
      <c r="AB22" s="38">
        <f t="shared" ref="AB22:AB25" si="29">AA22</f>
        <v>6123807.9449999994</v>
      </c>
      <c r="AC22" s="38" t="s">
        <v>43</v>
      </c>
      <c r="AD22" s="39">
        <f t="shared" si="5"/>
        <v>6730791</v>
      </c>
      <c r="AE22" t="s">
        <v>68</v>
      </c>
      <c r="AF22" s="7">
        <f>SUBTOTAL(9,[1]Chau!E29)</f>
        <v>6123808.8399999999</v>
      </c>
      <c r="AG22" s="41" t="b">
        <f t="shared" si="6"/>
        <v>0</v>
      </c>
      <c r="AH22" s="42">
        <v>642</v>
      </c>
      <c r="AI22" s="41">
        <v>0</v>
      </c>
      <c r="AJ22" s="70">
        <f>M22-AD23</f>
        <v>-6789454.9500000002</v>
      </c>
      <c r="AK22" s="70" t="e">
        <f>AE22-'[1]Salaries+Bonus'!AB27</f>
        <v>#VALUE!</v>
      </c>
      <c r="AL22" s="71" t="e">
        <f>AE22-'[1]Salaries Feb'!Z29</f>
        <v>#VALUE!</v>
      </c>
      <c r="AM22" s="71">
        <f>U22-'[1]Salaries+Bonus'!S27</f>
        <v>0</v>
      </c>
      <c r="AP22" s="26">
        <v>23</v>
      </c>
      <c r="AQ22" s="45">
        <f t="shared" si="9"/>
        <v>6123807.9449999994</v>
      </c>
      <c r="AR22" s="59" t="s">
        <v>97</v>
      </c>
      <c r="AT22" s="38" t="s">
        <v>43</v>
      </c>
      <c r="AY22" s="46">
        <f>SUBTOTAL(9,[1]Chau!E29)</f>
        <v>6123808.8399999999</v>
      </c>
      <c r="AZ22" s="19" t="b">
        <f t="shared" si="10"/>
        <v>0</v>
      </c>
    </row>
    <row r="23" spans="1:52" ht="15.95" customHeight="1">
      <c r="A23" s="27" t="s">
        <v>124</v>
      </c>
      <c r="B23" s="28" t="s">
        <v>125</v>
      </c>
      <c r="C23" s="48" t="s">
        <v>126</v>
      </c>
      <c r="D23" s="56">
        <v>42018</v>
      </c>
      <c r="E23" s="31" t="s">
        <v>127</v>
      </c>
      <c r="F23" s="29" t="s">
        <v>128</v>
      </c>
      <c r="G23" s="32">
        <f t="shared" ref="G23:G25" si="30">SUM(H23:K23)</f>
        <v>7876135.0389999999</v>
      </c>
      <c r="H23" s="32">
        <f t="shared" si="14"/>
        <v>889101.89099999995</v>
      </c>
      <c r="I23" s="32">
        <f t="shared" si="24"/>
        <v>148183.64850000001</v>
      </c>
      <c r="J23" s="32">
        <f t="shared" si="25"/>
        <v>49394.549500000001</v>
      </c>
      <c r="K23" s="34">
        <f t="shared" si="12"/>
        <v>6789454.9500000002</v>
      </c>
      <c r="L23" s="35">
        <f t="shared" si="0"/>
        <v>6789454.9500000002</v>
      </c>
      <c r="M23" s="32"/>
      <c r="N23" s="66">
        <v>4939454.95</v>
      </c>
      <c r="O23" s="66">
        <v>0</v>
      </c>
      <c r="P23" s="32">
        <f t="shared" si="26"/>
        <v>395156.39600000001</v>
      </c>
      <c r="Q23" s="32">
        <f t="shared" si="27"/>
        <v>74091.824250000005</v>
      </c>
      <c r="R23" s="32">
        <f t="shared" si="28"/>
        <v>49394.549500000001</v>
      </c>
      <c r="S23" s="32">
        <v>9000000</v>
      </c>
      <c r="T23" s="32">
        <f t="shared" si="20"/>
        <v>0</v>
      </c>
      <c r="U23" s="61">
        <f>ROUND(IF(AND(0&lt;T23,T23&lt;=5000000),T23*0.05,IF(AND(5000000&lt;T23,T23&lt;=10000000),((5000000*5%)+(T23-5000000)*10%),IF(AND(10000000&lt;T23,T23&lt;=18000000),((5000000*5%)+(5000000*10%)+(T23-10000000)*15%),IF(AND(18000000&lt;T23,T23&lt;=32000000),((5000000*5%)+(5000000*10%)+(8000000*15%)+(T23-18000000)*20%),IF(AND(32000000&lt;T23,T23&lt;=52000000),((5000000*5%)+(5000000*10%)+(8000000*15%)+(14000000*20%)+(T23-32000000)*25%),IF(AND(52000000&lt;T23,T23&lt;=80000000),((5000000*5%)+(5000000*10%)+(8000000*15%)+(14000000*20%)+(20000000*25%)+(T23-52000000)*30%),IF(T23&gt;80000000,((5000000*5%)+(5000000*10%)+(8000000*15%)+(14000000*20%)+(20000000*25%)+(28000000*30%)+(T23-80000000)*35%),0))))))),0)</f>
        <v>0</v>
      </c>
      <c r="V23" s="36"/>
      <c r="W23" s="36"/>
      <c r="X23" s="32">
        <v>650000</v>
      </c>
      <c r="Y23" s="32">
        <v>1000000</v>
      </c>
      <c r="Z23" s="32">
        <v>200000</v>
      </c>
      <c r="AA23" s="47">
        <f t="shared" si="23"/>
        <v>6270812.1802500011</v>
      </c>
      <c r="AB23" s="38">
        <f t="shared" si="29"/>
        <v>6270812.1802500011</v>
      </c>
      <c r="AC23" s="38" t="s">
        <v>43</v>
      </c>
      <c r="AD23" s="39">
        <f t="shared" si="5"/>
        <v>6789454.9500000002</v>
      </c>
      <c r="AE23" t="s">
        <v>68</v>
      </c>
      <c r="AF23" s="7">
        <f>SUBTOTAL(9,[1]Dung!E29)</f>
        <v>6270812.2249999996</v>
      </c>
      <c r="AG23" s="41" t="b">
        <f t="shared" si="6"/>
        <v>0</v>
      </c>
      <c r="AH23" s="42">
        <v>641</v>
      </c>
      <c r="AI23" s="41">
        <v>500000</v>
      </c>
      <c r="AJ23" s="43">
        <f>M23-AD24</f>
        <v>-4628285</v>
      </c>
      <c r="AK23" s="43" t="e">
        <f>AE23-'[1]Salaries+Bonus'!AB26</f>
        <v>#VALUE!</v>
      </c>
      <c r="AL23" s="44" t="e">
        <f>AE23-'[1]Salaries Feb'!Z28</f>
        <v>#VALUE!</v>
      </c>
      <c r="AM23" s="44">
        <f>U23-'[1]Salaries+Bonus'!S26</f>
        <v>0</v>
      </c>
      <c r="AP23" s="26">
        <v>23</v>
      </c>
      <c r="AQ23" s="45">
        <f t="shared" si="9"/>
        <v>6270812.1802500011</v>
      </c>
      <c r="AR23" s="59" t="s">
        <v>129</v>
      </c>
      <c r="AT23" s="38" t="s">
        <v>43</v>
      </c>
      <c r="AY23" s="46">
        <f>SUBTOTAL(9,[1]Dung!E29)</f>
        <v>6270812.2249999996</v>
      </c>
      <c r="AZ23" s="19" t="b">
        <f t="shared" si="10"/>
        <v>0</v>
      </c>
    </row>
    <row r="24" spans="1:52" ht="15.95" customHeight="1">
      <c r="A24" s="27" t="s">
        <v>130</v>
      </c>
      <c r="B24" s="28" t="s">
        <v>131</v>
      </c>
      <c r="C24" s="48" t="s">
        <v>132</v>
      </c>
      <c r="D24" s="56">
        <v>41829</v>
      </c>
      <c r="E24" s="31" t="s">
        <v>133</v>
      </c>
      <c r="F24" s="29" t="s">
        <v>134</v>
      </c>
      <c r="G24" s="32">
        <f t="shared" si="30"/>
        <v>5503507.7000000002</v>
      </c>
      <c r="H24" s="32">
        <f t="shared" si="14"/>
        <v>716091.29999999993</v>
      </c>
      <c r="I24" s="32">
        <f t="shared" si="24"/>
        <v>119348.54999999999</v>
      </c>
      <c r="J24" s="32">
        <f t="shared" si="25"/>
        <v>39782.85</v>
      </c>
      <c r="K24" s="34">
        <f t="shared" si="12"/>
        <v>4628285</v>
      </c>
      <c r="L24" s="35">
        <f t="shared" si="0"/>
        <v>4628285</v>
      </c>
      <c r="M24" s="32"/>
      <c r="N24" s="66">
        <v>3978285</v>
      </c>
      <c r="O24" s="66">
        <v>0</v>
      </c>
      <c r="P24" s="32">
        <f t="shared" si="26"/>
        <v>318262.8</v>
      </c>
      <c r="Q24" s="32">
        <f t="shared" si="27"/>
        <v>59674.274999999994</v>
      </c>
      <c r="R24" s="32">
        <f t="shared" si="28"/>
        <v>39782.85</v>
      </c>
      <c r="S24" s="32">
        <v>9000000</v>
      </c>
      <c r="T24" s="32">
        <f t="shared" si="20"/>
        <v>0</v>
      </c>
      <c r="U24" s="36">
        <f>ROUND(IF(AND(0&lt;T24,T24&lt;=5000000),T24*0.05,IF(AND(5000000&lt;T24,T24&lt;=10000000),((5000000*5%)+(T24-5000000)*10%),IF(AND(10000000&lt;T24,T24&lt;=18000000),((5000000*5%)+(5000000*10%)+(T24-10000000)*15%),IF(AND(18000000&lt;T24,T24&lt;=32000000),((5000000*5%)+(5000000*10%)+(8000000*15%)+(T24-18000000)*20%),IF(AND(32000000&lt;T24,T24&lt;=52000000),((5000000*5%)+(5000000*10%)+(8000000*15%)+(14000000*20%)+(T24-32000000)*25%),IF(AND(52000000&lt;T24,T24&lt;=80000000),((5000000*5%)+(5000000*10%)+(8000000*15%)+(14000000*20%)+(20000000*25%)+(T24-52000000)*30%),IF(T24&gt;80000000,((5000000*5%)+(5000000*10%)+(8000000*15%)+(14000000*20%)+(20000000*25%)+(28000000*30%)+(T24-80000000)*35%),0))))))),0)</f>
        <v>0</v>
      </c>
      <c r="V24" s="36"/>
      <c r="W24" s="36"/>
      <c r="X24" s="32">
        <v>650000</v>
      </c>
      <c r="Y24" s="32"/>
      <c r="Z24" s="32"/>
      <c r="AA24" s="47">
        <f t="shared" si="23"/>
        <v>4210565.0750000002</v>
      </c>
      <c r="AB24" s="38">
        <f>AA24</f>
        <v>4210565.0750000002</v>
      </c>
      <c r="AC24" s="38" t="s">
        <v>43</v>
      </c>
      <c r="AD24" s="39">
        <f t="shared" si="5"/>
        <v>4628285</v>
      </c>
      <c r="AE24" t="s">
        <v>68</v>
      </c>
      <c r="AF24" s="7">
        <f>SUBTOTAL(9,[1]Tham!E29)</f>
        <v>4210565.0750000002</v>
      </c>
      <c r="AG24" s="41" t="b">
        <f t="shared" si="6"/>
        <v>1</v>
      </c>
      <c r="AH24" s="42">
        <v>642</v>
      </c>
      <c r="AI24" s="41">
        <v>2000000</v>
      </c>
      <c r="AJ24" s="43">
        <f>M24-AD25</f>
        <v>-16750400</v>
      </c>
      <c r="AK24" s="43" t="e">
        <f>AE24-'[1]Salaries+Bonus'!AB12</f>
        <v>#VALUE!</v>
      </c>
      <c r="AL24" s="44" t="e">
        <f>AE24-'[1]Salaries Feb'!Z14</f>
        <v>#VALUE!</v>
      </c>
      <c r="AM24" s="44">
        <f>U24-'[1]Salaries+Bonus'!S12</f>
        <v>0</v>
      </c>
      <c r="AP24" s="26">
        <v>23</v>
      </c>
      <c r="AQ24" s="45">
        <f t="shared" si="9"/>
        <v>4210565.0750000002</v>
      </c>
      <c r="AR24" s="59" t="s">
        <v>97</v>
      </c>
      <c r="AT24" s="38" t="s">
        <v>43</v>
      </c>
      <c r="AY24" s="46">
        <f>SUBTOTAL(9,[1]Tham!E29)</f>
        <v>4210565.0750000002</v>
      </c>
      <c r="AZ24" s="19" t="b">
        <f t="shared" si="10"/>
        <v>1</v>
      </c>
    </row>
    <row r="25" spans="1:52" s="49" customFormat="1" ht="15.95" customHeight="1">
      <c r="A25" s="72" t="s">
        <v>135</v>
      </c>
      <c r="B25" s="73" t="s">
        <v>136</v>
      </c>
      <c r="C25" s="48" t="s">
        <v>77</v>
      </c>
      <c r="D25" s="74">
        <v>42100</v>
      </c>
      <c r="E25" s="75" t="s">
        <v>137</v>
      </c>
      <c r="F25" s="29" t="s">
        <v>138</v>
      </c>
      <c r="G25" s="32">
        <f t="shared" si="30"/>
        <v>20072488</v>
      </c>
      <c r="H25" s="32">
        <f t="shared" si="14"/>
        <v>2718072</v>
      </c>
      <c r="I25" s="32">
        <f t="shared" si="24"/>
        <v>453012</v>
      </c>
      <c r="J25" s="32">
        <f t="shared" si="25"/>
        <v>151004</v>
      </c>
      <c r="K25" s="34">
        <f t="shared" si="12"/>
        <v>16750400</v>
      </c>
      <c r="L25" s="35">
        <f t="shared" si="0"/>
        <v>16750400</v>
      </c>
      <c r="M25" s="76"/>
      <c r="N25" s="77">
        <v>15100400</v>
      </c>
      <c r="O25" s="35">
        <v>0</v>
      </c>
      <c r="P25" s="32">
        <f t="shared" si="26"/>
        <v>1208032</v>
      </c>
      <c r="Q25" s="32">
        <f t="shared" si="27"/>
        <v>226506</v>
      </c>
      <c r="R25" s="32">
        <f t="shared" si="28"/>
        <v>151004</v>
      </c>
      <c r="S25" s="76">
        <v>12600000</v>
      </c>
      <c r="T25" s="32">
        <f>IF(M25+N25+O25-P25-Q25-R25-S25&gt;0,M25+N25+O25-P25-Q25-R25-S25,0)</f>
        <v>914858</v>
      </c>
      <c r="U25" s="36">
        <f t="shared" ref="U25" si="31">ROUND(IF(AND(0&lt;T25,T25&lt;=5000000),T25*0.05,IF(AND(5000000&lt;T25,T25&lt;=10000000),((5000000*5%)+(T25-5000000)*10%),IF(AND(10000000&lt;T25,T25&lt;=18000000),((5000000*5%)+(5000000*10%)+(T25-10000000)*15%),IF(AND(18000000&lt;T25,T25&lt;=32000000),((5000000*5%)+(5000000*10%)+(8000000*15%)+(T25-18000000)*20%),IF(AND(32000000&lt;T25,T25&lt;=52000000),((5000000*5%)+(5000000*10%)+(8000000*15%)+(14000000*20%)+(T25-32000000)*25%),IF(AND(52000000&lt;T25,T25&lt;=80000000),((5000000*5%)+(5000000*10%)+(8000000*15%)+(14000000*20%)+(20000000*25%)+(T25-52000000)*30%),IF(T25&gt;80000000,((5000000*5%)+(5000000*10%)+(8000000*15%)+(14000000*20%)+(20000000*25%)+(28000000*30%)+(T25-80000000)*35%),0))))))),0)</f>
        <v>45743</v>
      </c>
      <c r="V25" s="78">
        <v>0</v>
      </c>
      <c r="W25" s="78"/>
      <c r="X25" s="32">
        <v>650000</v>
      </c>
      <c r="Y25" s="32">
        <v>500000</v>
      </c>
      <c r="Z25" s="32">
        <v>500000</v>
      </c>
      <c r="AA25" s="47">
        <f t="shared" si="23"/>
        <v>15119115</v>
      </c>
      <c r="AB25" s="38">
        <f t="shared" si="29"/>
        <v>15119115</v>
      </c>
      <c r="AC25" s="79" t="s">
        <v>22</v>
      </c>
      <c r="AD25" s="39">
        <f t="shared" si="5"/>
        <v>16750400</v>
      </c>
      <c r="AE25"/>
      <c r="AF25" s="7">
        <f>SUBTOTAL(9,[1]Thuan!E29)</f>
        <v>15119115</v>
      </c>
      <c r="AG25" s="41" t="b">
        <f t="shared" si="6"/>
        <v>1</v>
      </c>
      <c r="AH25" s="42"/>
      <c r="AI25" s="51"/>
      <c r="AJ25" s="80"/>
      <c r="AK25" s="80"/>
      <c r="AL25" s="81"/>
      <c r="AM25" s="81"/>
      <c r="AP25" s="82">
        <v>23</v>
      </c>
      <c r="AQ25" s="54">
        <f t="shared" si="9"/>
        <v>15119115</v>
      </c>
      <c r="AR25" s="59" t="s">
        <v>139</v>
      </c>
      <c r="AT25" s="79" t="s">
        <v>22</v>
      </c>
      <c r="AY25" s="46">
        <f>SUBTOTAL(9,[1]Thuan!E29)</f>
        <v>15119115</v>
      </c>
      <c r="AZ25" s="19" t="b">
        <f t="shared" si="10"/>
        <v>1</v>
      </c>
    </row>
    <row r="26" spans="1:52" outlineLevel="1">
      <c r="AP26" s="6"/>
    </row>
    <row r="27" spans="1:52" outlineLevel="1">
      <c r="AP27" s="6"/>
    </row>
    <row r="28" spans="1:52" outlineLevel="1">
      <c r="AP28" s="6"/>
    </row>
    <row r="29" spans="1:52" outlineLevel="1">
      <c r="AP29" s="6"/>
    </row>
    <row r="30" spans="1:52" outlineLevel="1">
      <c r="AP30" s="6"/>
    </row>
    <row r="31" spans="1:52" outlineLevel="1">
      <c r="AP31" s="6"/>
    </row>
    <row r="32" spans="1:52" outlineLevel="1">
      <c r="AP32" s="6"/>
    </row>
    <row r="33" spans="42:42" outlineLevel="1">
      <c r="AP33" s="6"/>
    </row>
    <row r="34" spans="42:42" outlineLevel="1">
      <c r="AP34" s="6"/>
    </row>
    <row r="35" spans="42:42" outlineLevel="1">
      <c r="AP35" s="6"/>
    </row>
    <row r="36" spans="42:42" outlineLevel="1">
      <c r="AP36" s="6"/>
    </row>
    <row r="37" spans="42:42" outlineLevel="1">
      <c r="AP37" s="6"/>
    </row>
    <row r="38" spans="42:42" outlineLevel="1">
      <c r="AP38" s="6"/>
    </row>
    <row r="39" spans="42:42" outlineLevel="1">
      <c r="AP39" s="6"/>
    </row>
    <row r="40" spans="42:42" outlineLevel="1">
      <c r="AP40" s="6"/>
    </row>
    <row r="41" spans="42:42" outlineLevel="1">
      <c r="AP41" s="6"/>
    </row>
    <row r="42" spans="42:42" outlineLevel="1">
      <c r="AP42" s="6"/>
    </row>
    <row r="43" spans="42:42" outlineLevel="1">
      <c r="AP43" s="6"/>
    </row>
    <row r="44" spans="42:42" outlineLevel="1">
      <c r="AP44" s="6"/>
    </row>
    <row r="45" spans="42:42" outlineLevel="1">
      <c r="AP45" s="6"/>
    </row>
    <row r="46" spans="42:42" outlineLevel="1">
      <c r="AP46" s="6"/>
    </row>
    <row r="47" spans="42:42" outlineLevel="1">
      <c r="AP47" s="6"/>
    </row>
    <row r="48" spans="42:42" outlineLevel="1">
      <c r="AP48" s="6"/>
    </row>
    <row r="49" spans="2:42" outlineLevel="1">
      <c r="AP49" s="6"/>
    </row>
    <row r="50" spans="2:42" outlineLevel="1">
      <c r="AP50" s="6"/>
    </row>
    <row r="51" spans="2:42" outlineLevel="1">
      <c r="AP51" s="6"/>
    </row>
    <row r="52" spans="2:42" outlineLevel="1">
      <c r="AP52" s="6"/>
    </row>
    <row r="53" spans="2:42" outlineLevel="1">
      <c r="AP53" s="6"/>
    </row>
    <row r="54" spans="2:42" outlineLevel="1">
      <c r="AP54" s="6"/>
    </row>
    <row r="55" spans="2:42">
      <c r="H55" s="39"/>
      <c r="I55" s="39"/>
      <c r="J55" s="39"/>
      <c r="P55" s="39"/>
      <c r="Q55" s="39"/>
      <c r="R55" s="39"/>
      <c r="AP55" s="6"/>
    </row>
    <row r="56" spans="2:42">
      <c r="N56" s="39"/>
      <c r="W56" s="39"/>
      <c r="AA56" s="39"/>
      <c r="AB56" s="39"/>
      <c r="AP56" s="6"/>
    </row>
    <row r="57" spans="2:42">
      <c r="H57" s="39"/>
      <c r="P57" s="39"/>
      <c r="Q57" s="39"/>
      <c r="AP57" s="6"/>
    </row>
    <row r="58" spans="2:42">
      <c r="X58" s="41"/>
    </row>
    <row r="59" spans="2:42">
      <c r="B59" s="6" t="s">
        <v>140</v>
      </c>
      <c r="G59" s="6" t="s">
        <v>141</v>
      </c>
      <c r="K59" s="6" t="s">
        <v>39</v>
      </c>
      <c r="X59" s="41"/>
      <c r="AA59" s="83"/>
      <c r="AB59" s="83"/>
      <c r="AP59" s="6"/>
    </row>
    <row r="60" spans="2:42">
      <c r="X60" s="41"/>
    </row>
    <row r="61" spans="2:42">
      <c r="X61" s="39"/>
    </row>
  </sheetData>
  <autoFilter ref="A4:AT25"/>
  <mergeCells count="3">
    <mergeCell ref="H3:J3"/>
    <mergeCell ref="P3:R3"/>
    <mergeCell ref="X3:Z3"/>
  </mergeCells>
  <printOptions horizontalCentered="1"/>
  <pageMargins left="0" right="0" top="0.57999999999999996" bottom="0.75" header="0.3" footer="0.3"/>
  <pageSetup paperSize="8" scale="6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Payroll with formular</vt:lpstr>
      <vt:lpstr>Tax rate</vt:lpstr>
      <vt:lpstr>Sample</vt:lpstr>
      <vt:lpstr>'Payroll with formular'!Print_Area</vt:lpstr>
      <vt:lpstr>Sample!Print_Area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dangvanha</dc:creator>
  <cp:lastModifiedBy>Dang Van Ha</cp:lastModifiedBy>
  <dcterms:created xsi:type="dcterms:W3CDTF">2016-07-01T10:11:41Z</dcterms:created>
  <dcterms:modified xsi:type="dcterms:W3CDTF">2016-07-13T09:34:10Z</dcterms:modified>
</cp:coreProperties>
</file>